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ИПР 2024-2029\ИПР_20.05.2024_01.09.2024\9.Локальные сметы\1Б)О_Р.8.2024\"/>
    </mc:Choice>
  </mc:AlternateContent>
  <bookViews>
    <workbookView xWindow="-120" yWindow="-120" windowWidth="29040" windowHeight="15840"/>
  </bookViews>
  <sheets>
    <sheet name="Смета по ФСНБ 421+557прРИМ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ФСНБ 421+557прРИМ'!$52:$52</definedName>
    <definedName name="_xlnm.Print_Area" localSheetId="0">'Смета по ФСНБ 421+557прРИМ'!$A$1:$L$526</definedName>
  </definedNames>
  <calcPr calcId="162913"/>
</workbook>
</file>

<file path=xl/calcChain.xml><?xml version="1.0" encoding="utf-8"?>
<calcChain xmlns="http://schemas.openxmlformats.org/spreadsheetml/2006/main">
  <c r="H524" i="6" l="1"/>
  <c r="H521" i="6"/>
  <c r="C524" i="6"/>
  <c r="C521" i="6"/>
  <c r="C512" i="6"/>
  <c r="L508" i="6"/>
  <c r="L507" i="6"/>
  <c r="L504" i="6"/>
  <c r="L503" i="6"/>
  <c r="L501" i="6" s="1"/>
  <c r="L496" i="6"/>
  <c r="L492" i="6"/>
  <c r="L477" i="6"/>
  <c r="L476" i="6"/>
  <c r="L472" i="6"/>
  <c r="L461" i="6"/>
  <c r="L456" i="6"/>
  <c r="L455" i="6"/>
  <c r="L453" i="6" s="1"/>
  <c r="L448" i="6"/>
  <c r="L447" i="6"/>
  <c r="L443" i="6"/>
  <c r="L427" i="6"/>
  <c r="L423" i="6"/>
  <c r="L406" i="6"/>
  <c r="L405" i="6"/>
  <c r="L402" i="6"/>
  <c r="L400" i="6"/>
  <c r="L399" i="6"/>
  <c r="L397" i="6" s="1"/>
  <c r="L393" i="6"/>
  <c r="L392" i="6"/>
  <c r="L388" i="6"/>
  <c r="AW378" i="6"/>
  <c r="AT378" i="6"/>
  <c r="AO378" i="6"/>
  <c r="AE378" i="6"/>
  <c r="AD378" i="6"/>
  <c r="CB378" i="6"/>
  <c r="CC378" i="6"/>
  <c r="G377" i="6"/>
  <c r="E377" i="6"/>
  <c r="G376" i="6"/>
  <c r="E376" i="6"/>
  <c r="L373" i="6"/>
  <c r="J373" i="6"/>
  <c r="G373" i="6"/>
  <c r="L372" i="6"/>
  <c r="L371" i="6" s="1"/>
  <c r="J372" i="6"/>
  <c r="G372" i="6"/>
  <c r="E370" i="6"/>
  <c r="G370" i="6"/>
  <c r="D370" i="6"/>
  <c r="C370" i="6"/>
  <c r="AW369" i="6"/>
  <c r="AT369" i="6"/>
  <c r="AO369" i="6"/>
  <c r="AE369" i="6"/>
  <c r="AD369" i="6"/>
  <c r="CB369" i="6"/>
  <c r="CC369" i="6"/>
  <c r="G368" i="6"/>
  <c r="E368" i="6"/>
  <c r="G367" i="6"/>
  <c r="E367" i="6"/>
  <c r="L364" i="6"/>
  <c r="J364" i="6"/>
  <c r="G364" i="6"/>
  <c r="L363" i="6"/>
  <c r="L362" i="6" s="1"/>
  <c r="J363" i="6"/>
  <c r="G363" i="6"/>
  <c r="E361" i="6"/>
  <c r="G361" i="6"/>
  <c r="D361" i="6"/>
  <c r="C361" i="6"/>
  <c r="L355" i="6"/>
  <c r="L354" i="6"/>
  <c r="L351" i="6"/>
  <c r="L349" i="6"/>
  <c r="L348" i="6"/>
  <c r="L346" i="6" s="1"/>
  <c r="L341" i="6"/>
  <c r="L337" i="6"/>
  <c r="AU327" i="6"/>
  <c r="AS327" i="6"/>
  <c r="AP327" i="6"/>
  <c r="BA327" i="6"/>
  <c r="AZ327" i="6"/>
  <c r="AE327" i="6"/>
  <c r="AD327" i="6"/>
  <c r="L326" i="6"/>
  <c r="J326" i="6"/>
  <c r="E326" i="6"/>
  <c r="G326" i="6"/>
  <c r="D326" i="6"/>
  <c r="C326" i="6"/>
  <c r="AU325" i="6"/>
  <c r="AS325" i="6"/>
  <c r="AP325" i="6"/>
  <c r="BA325" i="6"/>
  <c r="AZ325" i="6"/>
  <c r="AE325" i="6"/>
  <c r="AD325" i="6"/>
  <c r="L324" i="6"/>
  <c r="J324" i="6"/>
  <c r="E324" i="6"/>
  <c r="G324" i="6"/>
  <c r="D324" i="6"/>
  <c r="C324" i="6"/>
  <c r="AU323" i="6"/>
  <c r="AS323" i="6"/>
  <c r="AP323" i="6"/>
  <c r="BA323" i="6"/>
  <c r="AZ323" i="6"/>
  <c r="AE323" i="6"/>
  <c r="AD323" i="6"/>
  <c r="L322" i="6"/>
  <c r="J322" i="6"/>
  <c r="E322" i="6"/>
  <c r="G322" i="6"/>
  <c r="D322" i="6"/>
  <c r="C322" i="6"/>
  <c r="AW321" i="6"/>
  <c r="AT321" i="6"/>
  <c r="AR321" i="6"/>
  <c r="BA321" i="6"/>
  <c r="AZ321" i="6"/>
  <c r="AE321" i="6"/>
  <c r="AD321" i="6"/>
  <c r="L320" i="6"/>
  <c r="I320" i="6"/>
  <c r="H320" i="6"/>
  <c r="J320" i="6" s="1"/>
  <c r="E320" i="6"/>
  <c r="G320" i="6"/>
  <c r="D320" i="6"/>
  <c r="C320" i="6"/>
  <c r="B320" i="6"/>
  <c r="AW319" i="6"/>
  <c r="L340" i="6" s="1"/>
  <c r="L338" i="6" s="1"/>
  <c r="AT319" i="6"/>
  <c r="L336" i="6" s="1"/>
  <c r="AO319" i="6"/>
  <c r="AE319" i="6"/>
  <c r="AD319" i="6"/>
  <c r="G318" i="6"/>
  <c r="E318" i="6"/>
  <c r="G317" i="6"/>
  <c r="E317" i="6"/>
  <c r="L314" i="6"/>
  <c r="L313" i="6" s="1"/>
  <c r="J314" i="6"/>
  <c r="G314" i="6"/>
  <c r="E312" i="6"/>
  <c r="G312" i="6"/>
  <c r="D312" i="6"/>
  <c r="C312" i="6"/>
  <c r="G308" i="6"/>
  <c r="G307" i="6"/>
  <c r="L306" i="6"/>
  <c r="L305" i="6"/>
  <c r="L302" i="6"/>
  <c r="L300" i="6"/>
  <c r="L299" i="6"/>
  <c r="L297" i="6" s="1"/>
  <c r="L293" i="6"/>
  <c r="L292" i="6"/>
  <c r="L288" i="6"/>
  <c r="AT278" i="6"/>
  <c r="AR278" i="6"/>
  <c r="AO278" i="6"/>
  <c r="BA278" i="6"/>
  <c r="AZ278" i="6"/>
  <c r="AE278" i="6"/>
  <c r="AD278" i="6"/>
  <c r="L277" i="6"/>
  <c r="I277" i="6"/>
  <c r="H277" i="6"/>
  <c r="J277" i="6" s="1"/>
  <c r="E277" i="6"/>
  <c r="G277" i="6"/>
  <c r="D277" i="6"/>
  <c r="C277" i="6"/>
  <c r="B277" i="6"/>
  <c r="AT276" i="6"/>
  <c r="AR276" i="6"/>
  <c r="AO276" i="6"/>
  <c r="BA276" i="6"/>
  <c r="AZ276" i="6"/>
  <c r="AE276" i="6"/>
  <c r="AD276" i="6"/>
  <c r="C275" i="6"/>
  <c r="L274" i="6"/>
  <c r="I274" i="6"/>
  <c r="H274" i="6"/>
  <c r="J274" i="6" s="1"/>
  <c r="E274" i="6"/>
  <c r="G274" i="6"/>
  <c r="D274" i="6"/>
  <c r="C274" i="6"/>
  <c r="B274" i="6"/>
  <c r="AT273" i="6"/>
  <c r="AR273" i="6"/>
  <c r="AO273" i="6"/>
  <c r="BA273" i="6"/>
  <c r="AZ273" i="6"/>
  <c r="AE273" i="6"/>
  <c r="AD273" i="6"/>
  <c r="C272" i="6"/>
  <c r="L271" i="6"/>
  <c r="I271" i="6"/>
  <c r="H271" i="6"/>
  <c r="J271" i="6" s="1"/>
  <c r="E271" i="6"/>
  <c r="G271" i="6"/>
  <c r="D271" i="6"/>
  <c r="C271" i="6"/>
  <c r="B271" i="6"/>
  <c r="AT270" i="6"/>
  <c r="AR270" i="6"/>
  <c r="AO270" i="6"/>
  <c r="BA270" i="6"/>
  <c r="AZ270" i="6"/>
  <c r="AE270" i="6"/>
  <c r="AD270" i="6"/>
  <c r="C269" i="6"/>
  <c r="L268" i="6"/>
  <c r="I268" i="6"/>
  <c r="H268" i="6"/>
  <c r="J268" i="6" s="1"/>
  <c r="E268" i="6"/>
  <c r="G268" i="6"/>
  <c r="D268" i="6"/>
  <c r="C268" i="6"/>
  <c r="B268" i="6"/>
  <c r="AT267" i="6"/>
  <c r="AR267" i="6"/>
  <c r="AO267" i="6"/>
  <c r="BA267" i="6"/>
  <c r="AZ267" i="6"/>
  <c r="AE267" i="6"/>
  <c r="AD267" i="6"/>
  <c r="C266" i="6"/>
  <c r="L265" i="6"/>
  <c r="I265" i="6"/>
  <c r="H265" i="6"/>
  <c r="J265" i="6" s="1"/>
  <c r="E265" i="6"/>
  <c r="G265" i="6"/>
  <c r="D265" i="6"/>
  <c r="C265" i="6"/>
  <c r="B265" i="6"/>
  <c r="AT264" i="6"/>
  <c r="L287" i="6" s="1"/>
  <c r="AR264" i="6"/>
  <c r="AO264" i="6"/>
  <c r="L285" i="6" s="1"/>
  <c r="L283" i="6" s="1"/>
  <c r="BA264" i="6"/>
  <c r="L296" i="6" s="1"/>
  <c r="AZ264" i="6"/>
  <c r="L295" i="6" s="1"/>
  <c r="AE264" i="6"/>
  <c r="AD264" i="6"/>
  <c r="C263" i="6"/>
  <c r="L262" i="6"/>
  <c r="I262" i="6"/>
  <c r="H262" i="6"/>
  <c r="J262" i="6" s="1"/>
  <c r="E262" i="6"/>
  <c r="G262" i="6"/>
  <c r="D262" i="6"/>
  <c r="C262" i="6"/>
  <c r="B262" i="6"/>
  <c r="L256" i="6"/>
  <c r="L255" i="6"/>
  <c r="L252" i="6"/>
  <c r="L250" i="6"/>
  <c r="L249" i="6"/>
  <c r="L247" i="6" s="1"/>
  <c r="L243" i="6"/>
  <c r="L242" i="6"/>
  <c r="L238" i="6"/>
  <c r="AE228" i="6"/>
  <c r="AD228" i="6"/>
  <c r="G227" i="6"/>
  <c r="E227" i="6"/>
  <c r="G226" i="6"/>
  <c r="E226" i="6"/>
  <c r="L223" i="6"/>
  <c r="I223" i="6"/>
  <c r="H223" i="6"/>
  <c r="J223" i="6" s="1"/>
  <c r="G223" i="6"/>
  <c r="L222" i="6"/>
  <c r="I222" i="6"/>
  <c r="H222" i="6"/>
  <c r="J222" i="6" s="1"/>
  <c r="G222" i="6"/>
  <c r="L221" i="6"/>
  <c r="I221" i="6"/>
  <c r="H221" i="6"/>
  <c r="J221" i="6" s="1"/>
  <c r="G221" i="6"/>
  <c r="L220" i="6"/>
  <c r="I220" i="6"/>
  <c r="H220" i="6"/>
  <c r="J220" i="6" s="1"/>
  <c r="G220" i="6"/>
  <c r="L219" i="6"/>
  <c r="L218" i="6" s="1"/>
  <c r="AW228" i="6" s="1"/>
  <c r="I219" i="6"/>
  <c r="H219" i="6"/>
  <c r="J219" i="6" s="1"/>
  <c r="G219" i="6"/>
  <c r="L217" i="6"/>
  <c r="J217" i="6"/>
  <c r="G217" i="6"/>
  <c r="E217" i="6"/>
  <c r="L216" i="6"/>
  <c r="I216" i="6"/>
  <c r="H216" i="6"/>
  <c r="J216" i="6" s="1"/>
  <c r="G216" i="6"/>
  <c r="L215" i="6"/>
  <c r="J215" i="6"/>
  <c r="G215" i="6"/>
  <c r="E215" i="6"/>
  <c r="L214" i="6"/>
  <c r="I214" i="6"/>
  <c r="H214" i="6"/>
  <c r="J214" i="6" s="1"/>
  <c r="G214" i="6"/>
  <c r="L213" i="6"/>
  <c r="L211" i="6" s="1"/>
  <c r="J213" i="6"/>
  <c r="G213" i="6"/>
  <c r="E213" i="6"/>
  <c r="L212" i="6"/>
  <c r="J212" i="6"/>
  <c r="G212" i="6"/>
  <c r="L209" i="6"/>
  <c r="L208" i="6" s="1"/>
  <c r="J209" i="6"/>
  <c r="G209" i="6"/>
  <c r="E207" i="6"/>
  <c r="G207" i="6"/>
  <c r="D207" i="6"/>
  <c r="C207" i="6"/>
  <c r="AE206" i="6"/>
  <c r="AD206" i="6"/>
  <c r="G205" i="6"/>
  <c r="E205" i="6"/>
  <c r="G204" i="6"/>
  <c r="E204" i="6"/>
  <c r="L201" i="6"/>
  <c r="I201" i="6"/>
  <c r="H201" i="6"/>
  <c r="J201" i="6" s="1"/>
  <c r="G201" i="6"/>
  <c r="L200" i="6"/>
  <c r="L199" i="6" s="1"/>
  <c r="AW206" i="6" s="1"/>
  <c r="I200" i="6"/>
  <c r="H200" i="6"/>
  <c r="J200" i="6" s="1"/>
  <c r="G200" i="6"/>
  <c r="L198" i="6"/>
  <c r="J198" i="6"/>
  <c r="G198" i="6"/>
  <c r="E198" i="6"/>
  <c r="L197" i="6"/>
  <c r="I197" i="6"/>
  <c r="H197" i="6"/>
  <c r="J197" i="6" s="1"/>
  <c r="G197" i="6"/>
  <c r="L196" i="6"/>
  <c r="L194" i="6" s="1"/>
  <c r="J196" i="6"/>
  <c r="G196" i="6"/>
  <c r="E196" i="6"/>
  <c r="L195" i="6"/>
  <c r="I195" i="6"/>
  <c r="H195" i="6"/>
  <c r="J195" i="6" s="1"/>
  <c r="G195" i="6"/>
  <c r="L192" i="6"/>
  <c r="L191" i="6" s="1"/>
  <c r="J192" i="6"/>
  <c r="G192" i="6"/>
  <c r="E190" i="6"/>
  <c r="G190" i="6"/>
  <c r="D190" i="6"/>
  <c r="C190" i="6"/>
  <c r="AE189" i="6"/>
  <c r="AD189" i="6"/>
  <c r="G188" i="6"/>
  <c r="E188" i="6"/>
  <c r="G187" i="6"/>
  <c r="E187" i="6"/>
  <c r="L184" i="6"/>
  <c r="I184" i="6"/>
  <c r="H184" i="6"/>
  <c r="J184" i="6" s="1"/>
  <c r="G184" i="6"/>
  <c r="L183" i="6"/>
  <c r="I183" i="6"/>
  <c r="H183" i="6"/>
  <c r="J183" i="6" s="1"/>
  <c r="G183" i="6"/>
  <c r="L182" i="6"/>
  <c r="L181" i="6" s="1"/>
  <c r="AW189" i="6" s="1"/>
  <c r="I182" i="6"/>
  <c r="H182" i="6"/>
  <c r="J182" i="6" s="1"/>
  <c r="G182" i="6"/>
  <c r="L180" i="6"/>
  <c r="J180" i="6"/>
  <c r="G180" i="6"/>
  <c r="L179" i="6"/>
  <c r="J179" i="6"/>
  <c r="G179" i="6"/>
  <c r="E179" i="6"/>
  <c r="L178" i="6"/>
  <c r="I178" i="6"/>
  <c r="H178" i="6"/>
  <c r="J178" i="6" s="1"/>
  <c r="G178" i="6"/>
  <c r="L177" i="6"/>
  <c r="L175" i="6" s="1"/>
  <c r="J177" i="6"/>
  <c r="G177" i="6"/>
  <c r="E177" i="6"/>
  <c r="L176" i="6"/>
  <c r="J176" i="6"/>
  <c r="G176" i="6"/>
  <c r="L173" i="6"/>
  <c r="L172" i="6" s="1"/>
  <c r="J173" i="6"/>
  <c r="G173" i="6"/>
  <c r="C171" i="6"/>
  <c r="E170" i="6"/>
  <c r="G170" i="6"/>
  <c r="D170" i="6"/>
  <c r="C170" i="6"/>
  <c r="AE169" i="6"/>
  <c r="AD169" i="6"/>
  <c r="G168" i="6"/>
  <c r="E168" i="6"/>
  <c r="G167" i="6"/>
  <c r="E167" i="6"/>
  <c r="L164" i="6"/>
  <c r="AW169" i="6" s="1"/>
  <c r="L241" i="6" s="1"/>
  <c r="L239" i="6" s="1"/>
  <c r="L163" i="6"/>
  <c r="J163" i="6"/>
  <c r="G163" i="6"/>
  <c r="E163" i="6"/>
  <c r="L162" i="6"/>
  <c r="J162" i="6"/>
  <c r="G162" i="6"/>
  <c r="L161" i="6"/>
  <c r="J161" i="6"/>
  <c r="G161" i="6"/>
  <c r="E161" i="6"/>
  <c r="L160" i="6"/>
  <c r="I160" i="6"/>
  <c r="H160" i="6"/>
  <c r="J160" i="6" s="1"/>
  <c r="G160" i="6"/>
  <c r="L159" i="6"/>
  <c r="J159" i="6"/>
  <c r="G159" i="6"/>
  <c r="E159" i="6"/>
  <c r="L158" i="6"/>
  <c r="I158" i="6"/>
  <c r="H158" i="6"/>
  <c r="J158" i="6" s="1"/>
  <c r="G158" i="6"/>
  <c r="L157" i="6"/>
  <c r="J157" i="6"/>
  <c r="G157" i="6"/>
  <c r="L156" i="6"/>
  <c r="L154" i="6" s="1"/>
  <c r="J156" i="6"/>
  <c r="G156" i="6"/>
  <c r="E156" i="6"/>
  <c r="L155" i="6"/>
  <c r="J155" i="6"/>
  <c r="G155" i="6"/>
  <c r="L152" i="6"/>
  <c r="J152" i="6"/>
  <c r="G152" i="6"/>
  <c r="L151" i="6"/>
  <c r="J151" i="6"/>
  <c r="G151" i="6"/>
  <c r="L150" i="6"/>
  <c r="J150" i="6"/>
  <c r="G150" i="6"/>
  <c r="L149" i="6"/>
  <c r="L148" i="6" s="1"/>
  <c r="J149" i="6"/>
  <c r="G149" i="6"/>
  <c r="C147" i="6"/>
  <c r="E146" i="6"/>
  <c r="G146" i="6"/>
  <c r="D146" i="6"/>
  <c r="C146" i="6"/>
  <c r="L140" i="6"/>
  <c r="L139" i="6"/>
  <c r="L136" i="6"/>
  <c r="L134" i="6"/>
  <c r="L133" i="6"/>
  <c r="L131" i="6" s="1"/>
  <c r="L127" i="6"/>
  <c r="L126" i="6"/>
  <c r="L122" i="6"/>
  <c r="AW112" i="6"/>
  <c r="AE112" i="6"/>
  <c r="AD112" i="6"/>
  <c r="G111" i="6"/>
  <c r="E111" i="6"/>
  <c r="G110" i="6"/>
  <c r="E110" i="6"/>
  <c r="L107" i="6"/>
  <c r="L105" i="6" s="1"/>
  <c r="J107" i="6"/>
  <c r="G107" i="6"/>
  <c r="E107" i="6"/>
  <c r="L106" i="6"/>
  <c r="I106" i="6"/>
  <c r="H106" i="6"/>
  <c r="J106" i="6" s="1"/>
  <c r="G106" i="6"/>
  <c r="L103" i="6"/>
  <c r="L102" i="6" s="1"/>
  <c r="J103" i="6"/>
  <c r="G103" i="6"/>
  <c r="E101" i="6"/>
  <c r="G101" i="6"/>
  <c r="D101" i="6"/>
  <c r="C101" i="6"/>
  <c r="AE100" i="6"/>
  <c r="AD100" i="6"/>
  <c r="G99" i="6"/>
  <c r="E99" i="6"/>
  <c r="G98" i="6"/>
  <c r="E98" i="6"/>
  <c r="L95" i="6"/>
  <c r="I95" i="6"/>
  <c r="H95" i="6"/>
  <c r="J95" i="6" s="1"/>
  <c r="G95" i="6"/>
  <c r="F95" i="6"/>
  <c r="L94" i="6"/>
  <c r="I94" i="6"/>
  <c r="H94" i="6"/>
  <c r="J94" i="6" s="1"/>
  <c r="G94" i="6"/>
  <c r="F94" i="6"/>
  <c r="L93" i="6"/>
  <c r="L92" i="6" s="1"/>
  <c r="AW100" i="6" s="1"/>
  <c r="I93" i="6"/>
  <c r="H93" i="6"/>
  <c r="J93" i="6" s="1"/>
  <c r="G93" i="6"/>
  <c r="F93" i="6"/>
  <c r="L91" i="6"/>
  <c r="J91" i="6"/>
  <c r="G91" i="6"/>
  <c r="F91" i="6"/>
  <c r="L90" i="6"/>
  <c r="J90" i="6"/>
  <c r="G90" i="6"/>
  <c r="F90" i="6"/>
  <c r="E90" i="6"/>
  <c r="L89" i="6"/>
  <c r="I89" i="6"/>
  <c r="H89" i="6"/>
  <c r="J89" i="6" s="1"/>
  <c r="G89" i="6"/>
  <c r="F89" i="6"/>
  <c r="L88" i="6"/>
  <c r="L86" i="6" s="1"/>
  <c r="J88" i="6"/>
  <c r="G88" i="6"/>
  <c r="F88" i="6"/>
  <c r="E88" i="6"/>
  <c r="L87" i="6"/>
  <c r="J87" i="6"/>
  <c r="G87" i="6"/>
  <c r="F87" i="6"/>
  <c r="L84" i="6"/>
  <c r="L83" i="6" s="1"/>
  <c r="J84" i="6"/>
  <c r="G84" i="6"/>
  <c r="F84" i="6"/>
  <c r="C82" i="6"/>
  <c r="B81" i="6"/>
  <c r="E80" i="6"/>
  <c r="G80" i="6"/>
  <c r="D80" i="6"/>
  <c r="AE79" i="6"/>
  <c r="AD79" i="6"/>
  <c r="G78" i="6"/>
  <c r="E78" i="6"/>
  <c r="G77" i="6"/>
  <c r="E77" i="6"/>
  <c r="L74" i="6"/>
  <c r="AW79" i="6" s="1"/>
  <c r="L73" i="6"/>
  <c r="J73" i="6"/>
  <c r="G73" i="6"/>
  <c r="F73" i="6"/>
  <c r="E73" i="6"/>
  <c r="L72" i="6"/>
  <c r="J72" i="6"/>
  <c r="G72" i="6"/>
  <c r="F72" i="6"/>
  <c r="L71" i="6"/>
  <c r="J71" i="6"/>
  <c r="G71" i="6"/>
  <c r="F71" i="6"/>
  <c r="E71" i="6"/>
  <c r="L70" i="6"/>
  <c r="I70" i="6"/>
  <c r="H70" i="6"/>
  <c r="J70" i="6" s="1"/>
  <c r="G70" i="6"/>
  <c r="F70" i="6"/>
  <c r="L69" i="6"/>
  <c r="J69" i="6"/>
  <c r="G69" i="6"/>
  <c r="F69" i="6"/>
  <c r="E69" i="6"/>
  <c r="L68" i="6"/>
  <c r="I68" i="6"/>
  <c r="H68" i="6"/>
  <c r="J68" i="6" s="1"/>
  <c r="G68" i="6"/>
  <c r="F68" i="6"/>
  <c r="L67" i="6"/>
  <c r="J67" i="6"/>
  <c r="G67" i="6"/>
  <c r="F67" i="6"/>
  <c r="L66" i="6"/>
  <c r="L64" i="6" s="1"/>
  <c r="J66" i="6"/>
  <c r="G66" i="6"/>
  <c r="F66" i="6"/>
  <c r="E66" i="6"/>
  <c r="L65" i="6"/>
  <c r="J65" i="6"/>
  <c r="G65" i="6"/>
  <c r="F65" i="6"/>
  <c r="L62" i="6"/>
  <c r="J62" i="6"/>
  <c r="G62" i="6"/>
  <c r="F62" i="6"/>
  <c r="L61" i="6"/>
  <c r="J61" i="6"/>
  <c r="G61" i="6"/>
  <c r="F61" i="6"/>
  <c r="L60" i="6"/>
  <c r="J60" i="6"/>
  <c r="G60" i="6"/>
  <c r="F60" i="6"/>
  <c r="L59" i="6"/>
  <c r="L58" i="6" s="1"/>
  <c r="J59" i="6"/>
  <c r="G59" i="6"/>
  <c r="F59" i="6"/>
  <c r="C57" i="6"/>
  <c r="B56" i="6"/>
  <c r="E55" i="6"/>
  <c r="G55" i="6"/>
  <c r="D55" i="6"/>
  <c r="CN28" i="6"/>
  <c r="A28" i="6"/>
  <c r="F16" i="6"/>
  <c r="F14" i="6"/>
  <c r="CO6" i="6"/>
  <c r="F6" i="6"/>
  <c r="CO4" i="6"/>
  <c r="F4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U23" i="3"/>
  <c r="CV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W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U39" i="3"/>
  <c r="CV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W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W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W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U48" i="3"/>
  <c r="CV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Y58" i="3"/>
  <c r="CZ58" i="3"/>
  <c r="DA58" i="3"/>
  <c r="DB58" i="3"/>
  <c r="DC58" i="3"/>
  <c r="A59" i="3"/>
  <c r="Y59" i="3"/>
  <c r="CY59" i="3"/>
  <c r="CZ59" i="3"/>
  <c r="DA59" i="3"/>
  <c r="DB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A63" i="3"/>
  <c r="DB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U67" i="3"/>
  <c r="CV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W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W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U78" i="3"/>
  <c r="CV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W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W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W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X86" i="3"/>
  <c r="CY86" i="3"/>
  <c r="CZ86" i="3"/>
  <c r="DA86" i="3"/>
  <c r="DB86" i="3"/>
  <c r="DC86" i="3"/>
  <c r="DF86" i="3"/>
  <c r="DG86" i="3"/>
  <c r="DH86" i="3"/>
  <c r="DI86" i="3"/>
  <c r="DJ86" i="3"/>
  <c r="A87" i="3"/>
  <c r="Y87" i="3"/>
  <c r="CX87" i="3"/>
  <c r="CY87" i="3"/>
  <c r="CZ87" i="3"/>
  <c r="DA87" i="3"/>
  <c r="DB87" i="3"/>
  <c r="DC87" i="3"/>
  <c r="DF87" i="3"/>
  <c r="DG87" i="3"/>
  <c r="DH87" i="3"/>
  <c r="DI87" i="3"/>
  <c r="DJ87" i="3"/>
  <c r="A88" i="3"/>
  <c r="Y88" i="3"/>
  <c r="CX88" i="3"/>
  <c r="CY88" i="3"/>
  <c r="CZ88" i="3"/>
  <c r="DA88" i="3"/>
  <c r="DB88" i="3"/>
  <c r="DC88" i="3"/>
  <c r="DF88" i="3"/>
  <c r="DG88" i="3"/>
  <c r="DH88" i="3"/>
  <c r="DI88" i="3"/>
  <c r="DJ88" i="3"/>
  <c r="A89" i="3"/>
  <c r="Y89" i="3"/>
  <c r="CU89" i="3"/>
  <c r="CV89" i="3"/>
  <c r="CX89" i="3"/>
  <c r="CY89" i="3"/>
  <c r="CZ89" i="3"/>
  <c r="DA89" i="3"/>
  <c r="DB89" i="3"/>
  <c r="DC89" i="3"/>
  <c r="DF89" i="3"/>
  <c r="DG89" i="3"/>
  <c r="DH89" i="3"/>
  <c r="DI89" i="3"/>
  <c r="DJ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W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W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W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W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U104" i="3"/>
  <c r="CV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U106" i="3"/>
  <c r="CV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W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W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W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U114" i="3"/>
  <c r="CV114" i="3"/>
  <c r="CX114" i="3"/>
  <c r="CY114" i="3"/>
  <c r="CZ114" i="3"/>
  <c r="DA114" i="3"/>
  <c r="DB114" i="3"/>
  <c r="DC114" i="3"/>
  <c r="DF114" i="3"/>
  <c r="DG114" i="3"/>
  <c r="DH114" i="3"/>
  <c r="DI114" i="3"/>
  <c r="DJ114" i="3"/>
  <c r="A115" i="3"/>
  <c r="Y115" i="3"/>
  <c r="CX115" i="3"/>
  <c r="CY115" i="3"/>
  <c r="CZ115" i="3"/>
  <c r="DA115" i="3"/>
  <c r="DB115" i="3"/>
  <c r="DC115" i="3"/>
  <c r="DF115" i="3"/>
  <c r="DG115" i="3"/>
  <c r="DH115" i="3"/>
  <c r="DI115" i="3"/>
  <c r="DJ115" i="3"/>
  <c r="A116" i="3"/>
  <c r="Y116" i="3"/>
  <c r="CW116" i="3"/>
  <c r="CX116" i="3"/>
  <c r="CY116" i="3"/>
  <c r="CZ116" i="3"/>
  <c r="DA116" i="3"/>
  <c r="DB116" i="3"/>
  <c r="DC116" i="3"/>
  <c r="DF116" i="3"/>
  <c r="DG116" i="3"/>
  <c r="DH116" i="3"/>
  <c r="DI116" i="3"/>
  <c r="DJ116" i="3"/>
  <c r="A117" i="3"/>
  <c r="Y117" i="3"/>
  <c r="CW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W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U123" i="3"/>
  <c r="CV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W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W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W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X129" i="3"/>
  <c r="CY129" i="3"/>
  <c r="CZ129" i="3"/>
  <c r="DA129" i="3"/>
  <c r="DB129" i="3"/>
  <c r="DC129" i="3"/>
  <c r="DF129" i="3"/>
  <c r="DG129" i="3"/>
  <c r="DH129" i="3"/>
  <c r="DI129" i="3"/>
  <c r="DJ129" i="3"/>
  <c r="A130" i="3"/>
  <c r="Y130" i="3"/>
  <c r="CX130" i="3"/>
  <c r="CY130" i="3"/>
  <c r="CZ130" i="3"/>
  <c r="DA130" i="3"/>
  <c r="DB130" i="3"/>
  <c r="DC130" i="3"/>
  <c r="DF130" i="3"/>
  <c r="DG130" i="3"/>
  <c r="DH130" i="3"/>
  <c r="DI130" i="3"/>
  <c r="DJ130" i="3"/>
  <c r="A131" i="3"/>
  <c r="Y131" i="3"/>
  <c r="CX131" i="3"/>
  <c r="CY131" i="3"/>
  <c r="CZ131" i="3"/>
  <c r="DA131" i="3"/>
  <c r="DB131" i="3"/>
  <c r="DC131" i="3"/>
  <c r="DF131" i="3"/>
  <c r="DG131" i="3"/>
  <c r="DH131" i="3"/>
  <c r="DI131" i="3"/>
  <c r="DJ131" i="3"/>
  <c r="A132" i="3"/>
  <c r="Y132" i="3"/>
  <c r="CU132" i="3"/>
  <c r="CV132" i="3"/>
  <c r="CX132" i="3"/>
  <c r="CY132" i="3"/>
  <c r="CZ132" i="3"/>
  <c r="DA132" i="3"/>
  <c r="DB132" i="3"/>
  <c r="DC132" i="3"/>
  <c r="DF132" i="3"/>
  <c r="DG132" i="3"/>
  <c r="DH132" i="3"/>
  <c r="DI132" i="3"/>
  <c r="DJ132" i="3"/>
  <c r="A133" i="3"/>
  <c r="Y133" i="3"/>
  <c r="CU133" i="3"/>
  <c r="CV133" i="3"/>
  <c r="CX133" i="3"/>
  <c r="CY133" i="3"/>
  <c r="CZ133" i="3"/>
  <c r="DA133" i="3"/>
  <c r="DB133" i="3"/>
  <c r="DC133" i="3"/>
  <c r="DF133" i="3"/>
  <c r="DG133" i="3"/>
  <c r="DH133" i="3"/>
  <c r="DI133" i="3"/>
  <c r="DJ133" i="3"/>
  <c r="A134" i="3"/>
  <c r="Y134" i="3"/>
  <c r="CU134" i="3"/>
  <c r="CV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U136" i="3"/>
  <c r="CV136" i="3"/>
  <c r="CX136" i="3"/>
  <c r="CY136" i="3"/>
  <c r="CZ136" i="3"/>
  <c r="DA136" i="3"/>
  <c r="DB136" i="3"/>
  <c r="DC136" i="3"/>
  <c r="DF136" i="3"/>
  <c r="DG136" i="3"/>
  <c r="DH136" i="3"/>
  <c r="DI136" i="3"/>
  <c r="DJ13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K28" i="1"/>
  <c r="AC28" i="1"/>
  <c r="AE28" i="1"/>
  <c r="AD28" i="1" s="1"/>
  <c r="AF28" i="1"/>
  <c r="AG28" i="1"/>
  <c r="AH28" i="1"/>
  <c r="AI28" i="1"/>
  <c r="AJ28" i="1"/>
  <c r="CQ28" i="1"/>
  <c r="CR28" i="1"/>
  <c r="CS28" i="1"/>
  <c r="CT28" i="1"/>
  <c r="CU28" i="1"/>
  <c r="T28" i="1" s="1"/>
  <c r="CV28" i="1"/>
  <c r="CW28" i="1"/>
  <c r="CX28" i="1"/>
  <c r="W28" i="1" s="1"/>
  <c r="FR28" i="1"/>
  <c r="GL28" i="1"/>
  <c r="GO28" i="1"/>
  <c r="GP28" i="1"/>
  <c r="GV28" i="1"/>
  <c r="HC28" i="1"/>
  <c r="GX28" i="1" s="1"/>
  <c r="C29" i="1"/>
  <c r="D29" i="1"/>
  <c r="I29" i="1"/>
  <c r="K29" i="1"/>
  <c r="AC29" i="1"/>
  <c r="AE29" i="1"/>
  <c r="AD29" i="1" s="1"/>
  <c r="AF29" i="1"/>
  <c r="AG29" i="1"/>
  <c r="AH29" i="1"/>
  <c r="AI29" i="1"/>
  <c r="AJ29" i="1"/>
  <c r="CQ29" i="1"/>
  <c r="CR29" i="1"/>
  <c r="CS29" i="1"/>
  <c r="CT29" i="1"/>
  <c r="CU29" i="1"/>
  <c r="T29" i="1" s="1"/>
  <c r="CV29" i="1"/>
  <c r="CW29" i="1"/>
  <c r="CX29" i="1"/>
  <c r="W29" i="1" s="1"/>
  <c r="FR29" i="1"/>
  <c r="GL29" i="1"/>
  <c r="BZ32" i="1" s="1"/>
  <c r="GN29" i="1"/>
  <c r="GP29" i="1"/>
  <c r="GV29" i="1"/>
  <c r="HC29" i="1"/>
  <c r="GX29" i="1" s="1"/>
  <c r="C30" i="1"/>
  <c r="D30" i="1"/>
  <c r="P30" i="1"/>
  <c r="Q30" i="1"/>
  <c r="CP30" i="1" s="1"/>
  <c r="O30" i="1" s="1"/>
  <c r="R30" i="1"/>
  <c r="CZ30" i="1" s="1"/>
  <c r="Y30" i="1" s="1"/>
  <c r="BA112" i="6" s="1"/>
  <c r="L111" i="6" s="1"/>
  <c r="S30" i="1"/>
  <c r="U30" i="1"/>
  <c r="G102" i="6" s="1"/>
  <c r="V30" i="1"/>
  <c r="G105" i="6" s="1"/>
  <c r="AC30" i="1"/>
  <c r="AE30" i="1"/>
  <c r="AD30" i="1" s="1"/>
  <c r="AF30" i="1"/>
  <c r="AG30" i="1"/>
  <c r="AH30" i="1"/>
  <c r="AI30" i="1"/>
  <c r="AJ30" i="1"/>
  <c r="CQ30" i="1"/>
  <c r="CR30" i="1"/>
  <c r="CS30" i="1"/>
  <c r="CT30" i="1"/>
  <c r="CU30" i="1"/>
  <c r="T30" i="1" s="1"/>
  <c r="CV30" i="1"/>
  <c r="CW30" i="1"/>
  <c r="CX30" i="1"/>
  <c r="W30" i="1" s="1"/>
  <c r="CY30" i="1"/>
  <c r="X30" i="1" s="1"/>
  <c r="AZ112" i="6" s="1"/>
  <c r="L110" i="6" s="1"/>
  <c r="FR30" i="1"/>
  <c r="GL30" i="1"/>
  <c r="GO30" i="1"/>
  <c r="GP30" i="1"/>
  <c r="GV30" i="1"/>
  <c r="HC30" i="1"/>
  <c r="GX30" i="1" s="1"/>
  <c r="B32" i="1"/>
  <c r="B26" i="1" s="1"/>
  <c r="C32" i="1"/>
  <c r="C26" i="1" s="1"/>
  <c r="D32" i="1"/>
  <c r="D26" i="1" s="1"/>
  <c r="F32" i="1"/>
  <c r="F26" i="1" s="1"/>
  <c r="G32" i="1"/>
  <c r="G26" i="1" s="1"/>
  <c r="AG32" i="1"/>
  <c r="AJ32" i="1"/>
  <c r="BX32" i="1"/>
  <c r="BY32" i="1"/>
  <c r="CD32" i="1"/>
  <c r="CJ32" i="1"/>
  <c r="CK32" i="1"/>
  <c r="CL32" i="1"/>
  <c r="CM32" i="1"/>
  <c r="D62" i="1"/>
  <c r="E64" i="1"/>
  <c r="Z64" i="1"/>
  <c r="AA64" i="1"/>
  <c r="AM64" i="1"/>
  <c r="AN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EG64" i="1"/>
  <c r="EH64" i="1"/>
  <c r="EI64" i="1"/>
  <c r="EJ64" i="1"/>
  <c r="EK64" i="1"/>
  <c r="EL64" i="1"/>
  <c r="EM64" i="1"/>
  <c r="EN64" i="1"/>
  <c r="EO64" i="1"/>
  <c r="EP64" i="1"/>
  <c r="EQ64" i="1"/>
  <c r="ER64" i="1"/>
  <c r="ES64" i="1"/>
  <c r="ET64" i="1"/>
  <c r="EU64" i="1"/>
  <c r="EV64" i="1"/>
  <c r="EW64" i="1"/>
  <c r="EX64" i="1"/>
  <c r="EY64" i="1"/>
  <c r="EZ64" i="1"/>
  <c r="FA64" i="1"/>
  <c r="FB64" i="1"/>
  <c r="FC64" i="1"/>
  <c r="FD64" i="1"/>
  <c r="FE64" i="1"/>
  <c r="FF64" i="1"/>
  <c r="FG64" i="1"/>
  <c r="FH64" i="1"/>
  <c r="FI64" i="1"/>
  <c r="FJ64" i="1"/>
  <c r="FK64" i="1"/>
  <c r="FL64" i="1"/>
  <c r="FM64" i="1"/>
  <c r="FN64" i="1"/>
  <c r="FO64" i="1"/>
  <c r="FP64" i="1"/>
  <c r="FQ64" i="1"/>
  <c r="FR64" i="1"/>
  <c r="FS64" i="1"/>
  <c r="FT64" i="1"/>
  <c r="FU64" i="1"/>
  <c r="FV64" i="1"/>
  <c r="FW64" i="1"/>
  <c r="FX64" i="1"/>
  <c r="FY64" i="1"/>
  <c r="FZ64" i="1"/>
  <c r="GA64" i="1"/>
  <c r="GB64" i="1"/>
  <c r="GC64" i="1"/>
  <c r="GD64" i="1"/>
  <c r="GE64" i="1"/>
  <c r="GF64" i="1"/>
  <c r="GG64" i="1"/>
  <c r="GH64" i="1"/>
  <c r="GI64" i="1"/>
  <c r="GJ64" i="1"/>
  <c r="GK64" i="1"/>
  <c r="GL64" i="1"/>
  <c r="GM64" i="1"/>
  <c r="GN64" i="1"/>
  <c r="GO64" i="1"/>
  <c r="GP64" i="1"/>
  <c r="GQ64" i="1"/>
  <c r="GR64" i="1"/>
  <c r="GS64" i="1"/>
  <c r="GT64" i="1"/>
  <c r="GU64" i="1"/>
  <c r="GV64" i="1"/>
  <c r="GW64" i="1"/>
  <c r="GX64" i="1"/>
  <c r="C66" i="1"/>
  <c r="D66" i="1"/>
  <c r="I66" i="1"/>
  <c r="K66" i="1"/>
  <c r="AC66" i="1"/>
  <c r="AE66" i="1"/>
  <c r="AD66" i="1" s="1"/>
  <c r="AF66" i="1"/>
  <c r="AG66" i="1"/>
  <c r="AH66" i="1"/>
  <c r="AI66" i="1"/>
  <c r="AJ66" i="1"/>
  <c r="CQ66" i="1"/>
  <c r="CR66" i="1"/>
  <c r="CS66" i="1"/>
  <c r="CT66" i="1"/>
  <c r="CU66" i="1"/>
  <c r="T66" i="1" s="1"/>
  <c r="CV66" i="1"/>
  <c r="CW66" i="1"/>
  <c r="CX66" i="1"/>
  <c r="W66" i="1" s="1"/>
  <c r="FR66" i="1"/>
  <c r="GL66" i="1"/>
  <c r="GO66" i="1"/>
  <c r="GP66" i="1"/>
  <c r="CD78" i="1" s="1"/>
  <c r="GV66" i="1"/>
  <c r="HC66" i="1"/>
  <c r="GX66" i="1" s="1"/>
  <c r="C67" i="1"/>
  <c r="D67" i="1"/>
  <c r="P67" i="1"/>
  <c r="CP67" i="1" s="1"/>
  <c r="O67" i="1" s="1"/>
  <c r="Q67" i="1"/>
  <c r="R67" i="1"/>
  <c r="S67" i="1"/>
  <c r="CY67" i="1" s="1"/>
  <c r="X67" i="1" s="1"/>
  <c r="U67" i="1"/>
  <c r="V67" i="1"/>
  <c r="AC67" i="1"/>
  <c r="AE67" i="1"/>
  <c r="AD67" i="1" s="1"/>
  <c r="AF67" i="1"/>
  <c r="AG67" i="1"/>
  <c r="AH67" i="1"/>
  <c r="AI67" i="1"/>
  <c r="AJ67" i="1"/>
  <c r="CQ67" i="1"/>
  <c r="CR67" i="1"/>
  <c r="CS67" i="1"/>
  <c r="CT67" i="1"/>
  <c r="CU67" i="1"/>
  <c r="T67" i="1" s="1"/>
  <c r="CV67" i="1"/>
  <c r="CW67" i="1"/>
  <c r="CX67" i="1"/>
  <c r="W67" i="1" s="1"/>
  <c r="CZ67" i="1"/>
  <c r="Y67" i="1" s="1"/>
  <c r="FR67" i="1"/>
  <c r="GL67" i="1"/>
  <c r="GN67" i="1"/>
  <c r="GP67" i="1"/>
  <c r="GV67" i="1"/>
  <c r="HC67" i="1"/>
  <c r="GX67" i="1" s="1"/>
  <c r="C68" i="1"/>
  <c r="D68" i="1"/>
  <c r="P68" i="1"/>
  <c r="CP68" i="1" s="1"/>
  <c r="O68" i="1" s="1"/>
  <c r="Q68" i="1"/>
  <c r="R68" i="1"/>
  <c r="S68" i="1"/>
  <c r="CY68" i="1" s="1"/>
  <c r="X68" i="1" s="1"/>
  <c r="U68" i="1"/>
  <c r="V68" i="1"/>
  <c r="AC68" i="1"/>
  <c r="AE68" i="1"/>
  <c r="AD68" i="1" s="1"/>
  <c r="AF68" i="1"/>
  <c r="AG68" i="1"/>
  <c r="AH68" i="1"/>
  <c r="AI68" i="1"/>
  <c r="AJ68" i="1"/>
  <c r="CQ68" i="1"/>
  <c r="CR68" i="1"/>
  <c r="CS68" i="1"/>
  <c r="CT68" i="1"/>
  <c r="CU68" i="1"/>
  <c r="T68" i="1" s="1"/>
  <c r="CV68" i="1"/>
  <c r="CW68" i="1"/>
  <c r="CX68" i="1"/>
  <c r="W68" i="1" s="1"/>
  <c r="CZ68" i="1"/>
  <c r="Y68" i="1" s="1"/>
  <c r="FR68" i="1"/>
  <c r="GL68" i="1"/>
  <c r="GN68" i="1"/>
  <c r="GP68" i="1"/>
  <c r="GV68" i="1"/>
  <c r="HC68" i="1"/>
  <c r="GX68" i="1" s="1"/>
  <c r="C69" i="1"/>
  <c r="D69" i="1"/>
  <c r="I69" i="1"/>
  <c r="K69" i="1"/>
  <c r="AC69" i="1"/>
  <c r="AE69" i="1"/>
  <c r="AD69" i="1" s="1"/>
  <c r="AF69" i="1"/>
  <c r="AG69" i="1"/>
  <c r="AH69" i="1"/>
  <c r="AI69" i="1"/>
  <c r="AJ69" i="1"/>
  <c r="CQ69" i="1"/>
  <c r="CR69" i="1"/>
  <c r="CS69" i="1"/>
  <c r="CT69" i="1"/>
  <c r="CU69" i="1"/>
  <c r="T69" i="1" s="1"/>
  <c r="CV69" i="1"/>
  <c r="CW69" i="1"/>
  <c r="CX69" i="1"/>
  <c r="W69" i="1" s="1"/>
  <c r="FR69" i="1"/>
  <c r="GL69" i="1"/>
  <c r="GN69" i="1"/>
  <c r="GP69" i="1"/>
  <c r="GV69" i="1"/>
  <c r="HC69" i="1"/>
  <c r="GX69" i="1" s="1"/>
  <c r="C70" i="1"/>
  <c r="D70" i="1"/>
  <c r="P70" i="1"/>
  <c r="Q70" i="1"/>
  <c r="R70" i="1"/>
  <c r="CZ70" i="1" s="1"/>
  <c r="Y70" i="1" s="1"/>
  <c r="BA206" i="6" s="1"/>
  <c r="L205" i="6" s="1"/>
  <c r="S70" i="1"/>
  <c r="CP70" i="1" s="1"/>
  <c r="O70" i="1" s="1"/>
  <c r="U70" i="1"/>
  <c r="G191" i="6" s="1"/>
  <c r="V70" i="1"/>
  <c r="G194" i="6" s="1"/>
  <c r="AC70" i="1"/>
  <c r="AE70" i="1"/>
  <c r="AD70" i="1" s="1"/>
  <c r="AF70" i="1"/>
  <c r="AG70" i="1"/>
  <c r="AH70" i="1"/>
  <c r="AI70" i="1"/>
  <c r="AJ70" i="1"/>
  <c r="CQ70" i="1"/>
  <c r="CR70" i="1"/>
  <c r="CS70" i="1"/>
  <c r="CT70" i="1"/>
  <c r="CU70" i="1"/>
  <c r="T70" i="1" s="1"/>
  <c r="CV70" i="1"/>
  <c r="CW70" i="1"/>
  <c r="CX70" i="1"/>
  <c r="W70" i="1" s="1"/>
  <c r="FR70" i="1"/>
  <c r="GL70" i="1"/>
  <c r="GO70" i="1"/>
  <c r="GP70" i="1"/>
  <c r="GV70" i="1"/>
  <c r="HC70" i="1"/>
  <c r="GX70" i="1" s="1"/>
  <c r="C71" i="1"/>
  <c r="D71" i="1"/>
  <c r="P71" i="1"/>
  <c r="Q71" i="1"/>
  <c r="R71" i="1"/>
  <c r="CZ71" i="1" s="1"/>
  <c r="Y71" i="1" s="1"/>
  <c r="BA228" i="6" s="1"/>
  <c r="L227" i="6" s="1"/>
  <c r="S71" i="1"/>
  <c r="CP71" i="1" s="1"/>
  <c r="O71" i="1" s="1"/>
  <c r="U71" i="1"/>
  <c r="G208" i="6" s="1"/>
  <c r="V71" i="1"/>
  <c r="G211" i="6" s="1"/>
  <c r="AC71" i="1"/>
  <c r="AE71" i="1"/>
  <c r="AD71" i="1" s="1"/>
  <c r="AF71" i="1"/>
  <c r="AG71" i="1"/>
  <c r="AH71" i="1"/>
  <c r="AI71" i="1"/>
  <c r="AJ71" i="1"/>
  <c r="CQ71" i="1"/>
  <c r="CR71" i="1"/>
  <c r="CS71" i="1"/>
  <c r="CT71" i="1"/>
  <c r="CU71" i="1"/>
  <c r="T71" i="1" s="1"/>
  <c r="CV71" i="1"/>
  <c r="CW71" i="1"/>
  <c r="CX71" i="1"/>
  <c r="W71" i="1" s="1"/>
  <c r="CY71" i="1"/>
  <c r="X71" i="1" s="1"/>
  <c r="AZ228" i="6" s="1"/>
  <c r="L226" i="6" s="1"/>
  <c r="FR71" i="1"/>
  <c r="GL71" i="1"/>
  <c r="GN71" i="1"/>
  <c r="GP71" i="1"/>
  <c r="GV71" i="1"/>
  <c r="HC71" i="1"/>
  <c r="GX71" i="1" s="1"/>
  <c r="C72" i="1"/>
  <c r="D72" i="1"/>
  <c r="P72" i="1"/>
  <c r="Q72" i="1"/>
  <c r="R72" i="1"/>
  <c r="CZ72" i="1" s="1"/>
  <c r="Y72" i="1" s="1"/>
  <c r="S72" i="1"/>
  <c r="CP72" i="1" s="1"/>
  <c r="O72" i="1" s="1"/>
  <c r="U72" i="1"/>
  <c r="V72" i="1"/>
  <c r="AC72" i="1"/>
  <c r="AE72" i="1"/>
  <c r="AD72" i="1" s="1"/>
  <c r="AF72" i="1"/>
  <c r="AG72" i="1"/>
  <c r="AH72" i="1"/>
  <c r="AI72" i="1"/>
  <c r="AJ72" i="1"/>
  <c r="CQ72" i="1"/>
  <c r="CR72" i="1"/>
  <c r="CS72" i="1"/>
  <c r="CT72" i="1"/>
  <c r="CU72" i="1"/>
  <c r="T72" i="1" s="1"/>
  <c r="CV72" i="1"/>
  <c r="CW72" i="1"/>
  <c r="CX72" i="1"/>
  <c r="W72" i="1" s="1"/>
  <c r="CY72" i="1"/>
  <c r="X72" i="1" s="1"/>
  <c r="FR72" i="1"/>
  <c r="GL72" i="1"/>
  <c r="GN72" i="1"/>
  <c r="GP72" i="1"/>
  <c r="GV72" i="1"/>
  <c r="HC72" i="1"/>
  <c r="GX72" i="1" s="1"/>
  <c r="C73" i="1"/>
  <c r="D73" i="1"/>
  <c r="P73" i="1"/>
  <c r="CP73" i="1" s="1"/>
  <c r="O73" i="1" s="1"/>
  <c r="Q73" i="1"/>
  <c r="R73" i="1"/>
  <c r="CZ73" i="1" s="1"/>
  <c r="Y73" i="1" s="1"/>
  <c r="S73" i="1"/>
  <c r="U73" i="1"/>
  <c r="V73" i="1"/>
  <c r="AC73" i="1"/>
  <c r="AE73" i="1"/>
  <c r="AD73" i="1" s="1"/>
  <c r="AF73" i="1"/>
  <c r="AG73" i="1"/>
  <c r="AH73" i="1"/>
  <c r="AI73" i="1"/>
  <c r="AJ73" i="1"/>
  <c r="CQ73" i="1"/>
  <c r="CR73" i="1"/>
  <c r="CS73" i="1"/>
  <c r="CT73" i="1"/>
  <c r="CU73" i="1"/>
  <c r="T73" i="1" s="1"/>
  <c r="CV73" i="1"/>
  <c r="CW73" i="1"/>
  <c r="CX73" i="1"/>
  <c r="W73" i="1" s="1"/>
  <c r="CY73" i="1"/>
  <c r="X73" i="1" s="1"/>
  <c r="FR73" i="1"/>
  <c r="GL73" i="1"/>
  <c r="GN73" i="1"/>
  <c r="GP73" i="1"/>
  <c r="GV73" i="1"/>
  <c r="HC73" i="1"/>
  <c r="GX73" i="1" s="1"/>
  <c r="C74" i="1"/>
  <c r="D74" i="1"/>
  <c r="P74" i="1"/>
  <c r="CP74" i="1" s="1"/>
  <c r="O74" i="1" s="1"/>
  <c r="Q74" i="1"/>
  <c r="R74" i="1"/>
  <c r="CZ74" i="1" s="1"/>
  <c r="Y74" i="1" s="1"/>
  <c r="S74" i="1"/>
  <c r="U74" i="1"/>
  <c r="V74" i="1"/>
  <c r="AC74" i="1"/>
  <c r="AE74" i="1"/>
  <c r="AD74" i="1" s="1"/>
  <c r="AF74" i="1"/>
  <c r="AG74" i="1"/>
  <c r="AH74" i="1"/>
  <c r="AI74" i="1"/>
  <c r="AJ74" i="1"/>
  <c r="CQ74" i="1"/>
  <c r="CR74" i="1"/>
  <c r="CS74" i="1"/>
  <c r="CT74" i="1"/>
  <c r="CU74" i="1"/>
  <c r="T74" i="1" s="1"/>
  <c r="CV74" i="1"/>
  <c r="CW74" i="1"/>
  <c r="CX74" i="1"/>
  <c r="W74" i="1" s="1"/>
  <c r="FR74" i="1"/>
  <c r="GL74" i="1"/>
  <c r="GN74" i="1"/>
  <c r="GP74" i="1"/>
  <c r="GV74" i="1"/>
  <c r="HC74" i="1"/>
  <c r="GX74" i="1" s="1"/>
  <c r="C75" i="1"/>
  <c r="D75" i="1"/>
  <c r="P75" i="1"/>
  <c r="CP75" i="1" s="1"/>
  <c r="O75" i="1" s="1"/>
  <c r="Q75" i="1"/>
  <c r="R75" i="1"/>
  <c r="CZ75" i="1" s="1"/>
  <c r="Y75" i="1" s="1"/>
  <c r="S75" i="1"/>
  <c r="U75" i="1"/>
  <c r="V75" i="1"/>
  <c r="AC75" i="1"/>
  <c r="AE75" i="1"/>
  <c r="AD75" i="1" s="1"/>
  <c r="AF75" i="1"/>
  <c r="AG75" i="1"/>
  <c r="AH75" i="1"/>
  <c r="AI75" i="1"/>
  <c r="AJ75" i="1"/>
  <c r="CQ75" i="1"/>
  <c r="CR75" i="1"/>
  <c r="CS75" i="1"/>
  <c r="CT75" i="1"/>
  <c r="CU75" i="1"/>
  <c r="T75" i="1" s="1"/>
  <c r="CV75" i="1"/>
  <c r="CW75" i="1"/>
  <c r="CX75" i="1"/>
  <c r="W75" i="1" s="1"/>
  <c r="CY75" i="1"/>
  <c r="X75" i="1" s="1"/>
  <c r="FR75" i="1"/>
  <c r="GL75" i="1"/>
  <c r="GN75" i="1"/>
  <c r="GP75" i="1"/>
  <c r="GV75" i="1"/>
  <c r="HC75" i="1"/>
  <c r="GX75" i="1" s="1"/>
  <c r="C76" i="1"/>
  <c r="D76" i="1"/>
  <c r="P76" i="1"/>
  <c r="CP76" i="1" s="1"/>
  <c r="O76" i="1" s="1"/>
  <c r="Q76" i="1"/>
  <c r="R76" i="1"/>
  <c r="CZ76" i="1" s="1"/>
  <c r="Y76" i="1" s="1"/>
  <c r="S76" i="1"/>
  <c r="U76" i="1"/>
  <c r="V76" i="1"/>
  <c r="AC76" i="1"/>
  <c r="AE76" i="1"/>
  <c r="AD76" i="1" s="1"/>
  <c r="AF76" i="1"/>
  <c r="AG76" i="1"/>
  <c r="AH76" i="1"/>
  <c r="AI76" i="1"/>
  <c r="AJ76" i="1"/>
  <c r="CQ76" i="1"/>
  <c r="CR76" i="1"/>
  <c r="CS76" i="1"/>
  <c r="CT76" i="1"/>
  <c r="CU76" i="1"/>
  <c r="T76" i="1" s="1"/>
  <c r="CV76" i="1"/>
  <c r="CW76" i="1"/>
  <c r="CX76" i="1"/>
  <c r="W76" i="1" s="1"/>
  <c r="FR76" i="1"/>
  <c r="GL76" i="1"/>
  <c r="GN76" i="1"/>
  <c r="GP76" i="1"/>
  <c r="GV76" i="1"/>
  <c r="HC76" i="1"/>
  <c r="GX76" i="1" s="1"/>
  <c r="B78" i="1"/>
  <c r="B64" i="1" s="1"/>
  <c r="C78" i="1"/>
  <c r="C64" i="1" s="1"/>
  <c r="D78" i="1"/>
  <c r="D64" i="1" s="1"/>
  <c r="F78" i="1"/>
  <c r="F64" i="1" s="1"/>
  <c r="G78" i="1"/>
  <c r="G64" i="1" s="1"/>
  <c r="AG78" i="1"/>
  <c r="AJ78" i="1"/>
  <c r="BX78" i="1"/>
  <c r="BY78" i="1"/>
  <c r="CI78" i="1" s="1"/>
  <c r="BZ78" i="1"/>
  <c r="CG78" i="1" s="1"/>
  <c r="CJ78" i="1"/>
  <c r="CK78" i="1"/>
  <c r="CL78" i="1"/>
  <c r="CM78" i="1"/>
  <c r="D108" i="1"/>
  <c r="E110" i="1"/>
  <c r="Z110" i="1"/>
  <c r="AA110" i="1"/>
  <c r="AM110" i="1"/>
  <c r="AN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J110" i="1"/>
  <c r="FK110" i="1"/>
  <c r="FL110" i="1"/>
  <c r="FM110" i="1"/>
  <c r="FN110" i="1"/>
  <c r="FO110" i="1"/>
  <c r="FP110" i="1"/>
  <c r="FQ110" i="1"/>
  <c r="FR110" i="1"/>
  <c r="FS110" i="1"/>
  <c r="FT110" i="1"/>
  <c r="FU110" i="1"/>
  <c r="FV110" i="1"/>
  <c r="FW110" i="1"/>
  <c r="FX110" i="1"/>
  <c r="FY110" i="1"/>
  <c r="FZ110" i="1"/>
  <c r="GA110" i="1"/>
  <c r="GB110" i="1"/>
  <c r="GC110" i="1"/>
  <c r="GD110" i="1"/>
  <c r="GE110" i="1"/>
  <c r="GF110" i="1"/>
  <c r="GG110" i="1"/>
  <c r="GH110" i="1"/>
  <c r="GI110" i="1"/>
  <c r="GJ110" i="1"/>
  <c r="GK110" i="1"/>
  <c r="GL110" i="1"/>
  <c r="GM110" i="1"/>
  <c r="GN110" i="1"/>
  <c r="GO110" i="1"/>
  <c r="GP110" i="1"/>
  <c r="GQ110" i="1"/>
  <c r="GR110" i="1"/>
  <c r="GS110" i="1"/>
  <c r="GT110" i="1"/>
  <c r="GU110" i="1"/>
  <c r="GV110" i="1"/>
  <c r="GW110" i="1"/>
  <c r="GX110" i="1"/>
  <c r="I112" i="1"/>
  <c r="K112" i="1"/>
  <c r="AC112" i="1"/>
  <c r="AE112" i="1"/>
  <c r="AD112" i="1" s="1"/>
  <c r="AF112" i="1"/>
  <c r="AG112" i="1"/>
  <c r="AH112" i="1"/>
  <c r="AI112" i="1"/>
  <c r="AJ112" i="1"/>
  <c r="CQ112" i="1"/>
  <c r="P112" i="1" s="1"/>
  <c r="CR112" i="1"/>
  <c r="Q112" i="1" s="1"/>
  <c r="CS112" i="1"/>
  <c r="R112" i="1" s="1"/>
  <c r="CT112" i="1"/>
  <c r="S112" i="1" s="1"/>
  <c r="CU112" i="1"/>
  <c r="T112" i="1" s="1"/>
  <c r="CV112" i="1"/>
  <c r="U112" i="1" s="1"/>
  <c r="CW112" i="1"/>
  <c r="V112" i="1" s="1"/>
  <c r="CX112" i="1"/>
  <c r="W112" i="1" s="1"/>
  <c r="CY112" i="1"/>
  <c r="X112" i="1" s="1"/>
  <c r="CZ112" i="1"/>
  <c r="Y112" i="1" s="1"/>
  <c r="FR112" i="1"/>
  <c r="GL112" i="1"/>
  <c r="GN112" i="1"/>
  <c r="GP112" i="1"/>
  <c r="GV112" i="1"/>
  <c r="HC112" i="1"/>
  <c r="GX112" i="1" s="1"/>
  <c r="I113" i="1"/>
  <c r="K113" i="1"/>
  <c r="AC113" i="1"/>
  <c r="AE113" i="1"/>
  <c r="AD113" i="1" s="1"/>
  <c r="AF113" i="1"/>
  <c r="AG113" i="1"/>
  <c r="AH113" i="1"/>
  <c r="AI113" i="1"/>
  <c r="AJ113" i="1"/>
  <c r="CQ113" i="1"/>
  <c r="P113" i="1" s="1"/>
  <c r="CR113" i="1"/>
  <c r="Q113" i="1" s="1"/>
  <c r="CS113" i="1"/>
  <c r="R113" i="1" s="1"/>
  <c r="CT113" i="1"/>
  <c r="S113" i="1" s="1"/>
  <c r="CU113" i="1"/>
  <c r="T113" i="1" s="1"/>
  <c r="CV113" i="1"/>
  <c r="U113" i="1" s="1"/>
  <c r="CW113" i="1"/>
  <c r="V113" i="1" s="1"/>
  <c r="CX113" i="1"/>
  <c r="W113" i="1" s="1"/>
  <c r="CY113" i="1"/>
  <c r="X113" i="1" s="1"/>
  <c r="CZ113" i="1"/>
  <c r="Y113" i="1" s="1"/>
  <c r="FR113" i="1"/>
  <c r="GL113" i="1"/>
  <c r="GN113" i="1"/>
  <c r="GP113" i="1"/>
  <c r="GV113" i="1"/>
  <c r="HC113" i="1"/>
  <c r="GX113" i="1" s="1"/>
  <c r="I114" i="1"/>
  <c r="K114" i="1"/>
  <c r="AC114" i="1"/>
  <c r="AE114" i="1"/>
  <c r="AD114" i="1" s="1"/>
  <c r="AF114" i="1"/>
  <c r="AG114" i="1"/>
  <c r="AH114" i="1"/>
  <c r="AI114" i="1"/>
  <c r="AJ114" i="1"/>
  <c r="CQ114" i="1"/>
  <c r="P114" i="1" s="1"/>
  <c r="CR114" i="1"/>
  <c r="Q114" i="1" s="1"/>
  <c r="CS114" i="1"/>
  <c r="R114" i="1" s="1"/>
  <c r="CT114" i="1"/>
  <c r="S114" i="1" s="1"/>
  <c r="CU114" i="1"/>
  <c r="T114" i="1" s="1"/>
  <c r="CV114" i="1"/>
  <c r="U114" i="1" s="1"/>
  <c r="CW114" i="1"/>
  <c r="V114" i="1" s="1"/>
  <c r="CX114" i="1"/>
  <c r="W114" i="1" s="1"/>
  <c r="CY114" i="1"/>
  <c r="X114" i="1" s="1"/>
  <c r="CZ114" i="1"/>
  <c r="Y114" i="1" s="1"/>
  <c r="FR114" i="1"/>
  <c r="GL114" i="1"/>
  <c r="GN114" i="1"/>
  <c r="GP114" i="1"/>
  <c r="GV114" i="1"/>
  <c r="HC114" i="1"/>
  <c r="GX114" i="1" s="1"/>
  <c r="I115" i="1"/>
  <c r="K115" i="1"/>
  <c r="AC115" i="1"/>
  <c r="AE115" i="1"/>
  <c r="AD115" i="1" s="1"/>
  <c r="AF115" i="1"/>
  <c r="AG115" i="1"/>
  <c r="AH115" i="1"/>
  <c r="AI115" i="1"/>
  <c r="AJ115" i="1"/>
  <c r="CQ115" i="1"/>
  <c r="P115" i="1" s="1"/>
  <c r="CR115" i="1"/>
  <c r="Q115" i="1" s="1"/>
  <c r="CS115" i="1"/>
  <c r="R115" i="1" s="1"/>
  <c r="CT115" i="1"/>
  <c r="S115" i="1" s="1"/>
  <c r="CU115" i="1"/>
  <c r="T115" i="1" s="1"/>
  <c r="CV115" i="1"/>
  <c r="U115" i="1" s="1"/>
  <c r="CW115" i="1"/>
  <c r="V115" i="1" s="1"/>
  <c r="CX115" i="1"/>
  <c r="W115" i="1" s="1"/>
  <c r="CY115" i="1"/>
  <c r="X115" i="1" s="1"/>
  <c r="CZ115" i="1"/>
  <c r="Y115" i="1" s="1"/>
  <c r="FR115" i="1"/>
  <c r="GL115" i="1"/>
  <c r="GN115" i="1"/>
  <c r="GP115" i="1"/>
  <c r="GV115" i="1"/>
  <c r="HC115" i="1"/>
  <c r="GX115" i="1" s="1"/>
  <c r="I116" i="1"/>
  <c r="K116" i="1"/>
  <c r="AC116" i="1"/>
  <c r="AE116" i="1"/>
  <c r="AD116" i="1" s="1"/>
  <c r="AF116" i="1"/>
  <c r="AG116" i="1"/>
  <c r="AH116" i="1"/>
  <c r="AI116" i="1"/>
  <c r="AJ116" i="1"/>
  <c r="CQ116" i="1"/>
  <c r="P116" i="1" s="1"/>
  <c r="CR116" i="1"/>
  <c r="Q116" i="1" s="1"/>
  <c r="CS116" i="1"/>
  <c r="R116" i="1" s="1"/>
  <c r="CT116" i="1"/>
  <c r="S116" i="1" s="1"/>
  <c r="CU116" i="1"/>
  <c r="T116" i="1" s="1"/>
  <c r="CV116" i="1"/>
  <c r="U116" i="1" s="1"/>
  <c r="CW116" i="1"/>
  <c r="V116" i="1" s="1"/>
  <c r="CX116" i="1"/>
  <c r="W116" i="1" s="1"/>
  <c r="CY116" i="1"/>
  <c r="X116" i="1" s="1"/>
  <c r="CZ116" i="1"/>
  <c r="Y116" i="1" s="1"/>
  <c r="FR116" i="1"/>
  <c r="GL116" i="1"/>
  <c r="GN116" i="1"/>
  <c r="GP116" i="1"/>
  <c r="GV116" i="1"/>
  <c r="HC116" i="1"/>
  <c r="GX116" i="1" s="1"/>
  <c r="AC117" i="1"/>
  <c r="AE117" i="1"/>
  <c r="AD117" i="1" s="1"/>
  <c r="AF117" i="1"/>
  <c r="AG117" i="1"/>
  <c r="AH117" i="1"/>
  <c r="AI117" i="1"/>
  <c r="AJ117" i="1"/>
  <c r="CQ117" i="1"/>
  <c r="P117" i="1" s="1"/>
  <c r="CR117" i="1"/>
  <c r="Q117" i="1" s="1"/>
  <c r="CS117" i="1"/>
  <c r="R117" i="1" s="1"/>
  <c r="CT117" i="1"/>
  <c r="S117" i="1" s="1"/>
  <c r="CU117" i="1"/>
  <c r="T117" i="1" s="1"/>
  <c r="CV117" i="1"/>
  <c r="U117" i="1" s="1"/>
  <c r="CW117" i="1"/>
  <c r="V117" i="1" s="1"/>
  <c r="CX117" i="1"/>
  <c r="W117" i="1" s="1"/>
  <c r="CY117" i="1"/>
  <c r="X117" i="1" s="1"/>
  <c r="CZ117" i="1"/>
  <c r="Y117" i="1" s="1"/>
  <c r="FR117" i="1"/>
  <c r="GL117" i="1"/>
  <c r="GO117" i="1"/>
  <c r="GP117" i="1"/>
  <c r="GV117" i="1"/>
  <c r="HC117" i="1"/>
  <c r="GX117" i="1" s="1"/>
  <c r="B119" i="1"/>
  <c r="B110" i="1" s="1"/>
  <c r="C119" i="1"/>
  <c r="C110" i="1" s="1"/>
  <c r="D119" i="1"/>
  <c r="D110" i="1" s="1"/>
  <c r="F119" i="1"/>
  <c r="F110" i="1" s="1"/>
  <c r="G119" i="1"/>
  <c r="G110" i="1" s="1"/>
  <c r="AC119" i="1"/>
  <c r="AD119" i="1"/>
  <c r="AE119" i="1"/>
  <c r="AF119" i="1"/>
  <c r="AG119" i="1"/>
  <c r="AH119" i="1"/>
  <c r="AI119" i="1"/>
  <c r="AJ119" i="1"/>
  <c r="AK119" i="1"/>
  <c r="AL119" i="1"/>
  <c r="BX119" i="1"/>
  <c r="BY119" i="1"/>
  <c r="BZ119" i="1"/>
  <c r="CD119" i="1"/>
  <c r="CE119" i="1"/>
  <c r="CF119" i="1"/>
  <c r="CG119" i="1"/>
  <c r="CH119" i="1"/>
  <c r="CI119" i="1"/>
  <c r="CJ119" i="1"/>
  <c r="CK119" i="1"/>
  <c r="CL119" i="1"/>
  <c r="CM119" i="1"/>
  <c r="D149" i="1"/>
  <c r="E151" i="1"/>
  <c r="Z151" i="1"/>
  <c r="AA151" i="1"/>
  <c r="AM151" i="1"/>
  <c r="AN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EG151" i="1"/>
  <c r="EH151" i="1"/>
  <c r="EI151" i="1"/>
  <c r="EJ151" i="1"/>
  <c r="EK151" i="1"/>
  <c r="EL151" i="1"/>
  <c r="EM151" i="1"/>
  <c r="EN151" i="1"/>
  <c r="EO151" i="1"/>
  <c r="EP151" i="1"/>
  <c r="EQ151" i="1"/>
  <c r="ER151" i="1"/>
  <c r="ES151" i="1"/>
  <c r="ET151" i="1"/>
  <c r="EU151" i="1"/>
  <c r="EV151" i="1"/>
  <c r="EW151" i="1"/>
  <c r="EX151" i="1"/>
  <c r="EY151" i="1"/>
  <c r="EZ151" i="1"/>
  <c r="FA151" i="1"/>
  <c r="FB151" i="1"/>
  <c r="FC151" i="1"/>
  <c r="FD151" i="1"/>
  <c r="FE151" i="1"/>
  <c r="FF151" i="1"/>
  <c r="FG151" i="1"/>
  <c r="FH151" i="1"/>
  <c r="FI151" i="1"/>
  <c r="FJ151" i="1"/>
  <c r="FK151" i="1"/>
  <c r="FL151" i="1"/>
  <c r="FM151" i="1"/>
  <c r="FN151" i="1"/>
  <c r="FO151" i="1"/>
  <c r="FP151" i="1"/>
  <c r="FQ151" i="1"/>
  <c r="FR151" i="1"/>
  <c r="FS151" i="1"/>
  <c r="FT151" i="1"/>
  <c r="FU151" i="1"/>
  <c r="FV151" i="1"/>
  <c r="FW151" i="1"/>
  <c r="FX151" i="1"/>
  <c r="FY151" i="1"/>
  <c r="FZ151" i="1"/>
  <c r="GA151" i="1"/>
  <c r="GB151" i="1"/>
  <c r="GC151" i="1"/>
  <c r="GD151" i="1"/>
  <c r="GE151" i="1"/>
  <c r="GF151" i="1"/>
  <c r="GG151" i="1"/>
  <c r="GH151" i="1"/>
  <c r="GI151" i="1"/>
  <c r="GJ151" i="1"/>
  <c r="GK151" i="1"/>
  <c r="GL151" i="1"/>
  <c r="GM151" i="1"/>
  <c r="GN151" i="1"/>
  <c r="GO151" i="1"/>
  <c r="GP151" i="1"/>
  <c r="GQ151" i="1"/>
  <c r="GR151" i="1"/>
  <c r="GS151" i="1"/>
  <c r="GT151" i="1"/>
  <c r="GU151" i="1"/>
  <c r="GV151" i="1"/>
  <c r="GW151" i="1"/>
  <c r="GX151" i="1"/>
  <c r="C153" i="1"/>
  <c r="D153" i="1"/>
  <c r="P153" i="1"/>
  <c r="Q153" i="1"/>
  <c r="AD159" i="1" s="1"/>
  <c r="R153" i="1"/>
  <c r="CZ153" i="1" s="1"/>
  <c r="Y153" i="1" s="1"/>
  <c r="S153" i="1"/>
  <c r="U153" i="1"/>
  <c r="G313" i="6" s="1"/>
  <c r="V153" i="1"/>
  <c r="AI159" i="1" s="1"/>
  <c r="AC153" i="1"/>
  <c r="AE153" i="1"/>
  <c r="AD153" i="1" s="1"/>
  <c r="AF153" i="1"/>
  <c r="AG153" i="1"/>
  <c r="AH153" i="1"/>
  <c r="AI153" i="1"/>
  <c r="AJ153" i="1"/>
  <c r="CQ153" i="1"/>
  <c r="CR153" i="1"/>
  <c r="CS153" i="1"/>
  <c r="CT153" i="1"/>
  <c r="CU153" i="1"/>
  <c r="T153" i="1" s="1"/>
  <c r="CV153" i="1"/>
  <c r="CW153" i="1"/>
  <c r="CX153" i="1"/>
  <c r="W153" i="1" s="1"/>
  <c r="CY153" i="1"/>
  <c r="X153" i="1" s="1"/>
  <c r="AZ319" i="6" s="1"/>
  <c r="FR153" i="1"/>
  <c r="GL153" i="1"/>
  <c r="GO153" i="1"/>
  <c r="GP153" i="1"/>
  <c r="GV153" i="1"/>
  <c r="HC153" i="1"/>
  <c r="GX153" i="1" s="1"/>
  <c r="AC154" i="1"/>
  <c r="AE154" i="1"/>
  <c r="AD154" i="1" s="1"/>
  <c r="AF154" i="1"/>
  <c r="AG154" i="1"/>
  <c r="AH154" i="1"/>
  <c r="AI154" i="1"/>
  <c r="AJ154" i="1"/>
  <c r="CQ154" i="1"/>
  <c r="P154" i="1" s="1"/>
  <c r="CR154" i="1"/>
  <c r="Q154" i="1" s="1"/>
  <c r="CS154" i="1"/>
  <c r="R154" i="1" s="1"/>
  <c r="CT154" i="1"/>
  <c r="S154" i="1" s="1"/>
  <c r="CU154" i="1"/>
  <c r="T154" i="1" s="1"/>
  <c r="CV154" i="1"/>
  <c r="U154" i="1" s="1"/>
  <c r="CW154" i="1"/>
  <c r="V154" i="1" s="1"/>
  <c r="CX154" i="1"/>
  <c r="W154" i="1" s="1"/>
  <c r="CY154" i="1"/>
  <c r="X154" i="1" s="1"/>
  <c r="CZ154" i="1"/>
  <c r="Y154" i="1" s="1"/>
  <c r="FR154" i="1"/>
  <c r="GL154" i="1"/>
  <c r="GO154" i="1"/>
  <c r="GP154" i="1"/>
  <c r="GV154" i="1"/>
  <c r="HC154" i="1"/>
  <c r="GX154" i="1" s="1"/>
  <c r="O155" i="1"/>
  <c r="P155" i="1"/>
  <c r="Q155" i="1"/>
  <c r="R155" i="1"/>
  <c r="S155" i="1"/>
  <c r="T155" i="1"/>
  <c r="U155" i="1"/>
  <c r="V155" i="1"/>
  <c r="W155" i="1"/>
  <c r="X155" i="1"/>
  <c r="Y155" i="1"/>
  <c r="AB155" i="1"/>
  <c r="AC155" i="1"/>
  <c r="AD155" i="1"/>
  <c r="AE155" i="1"/>
  <c r="AF155" i="1"/>
  <c r="AG155" i="1"/>
  <c r="AH155" i="1"/>
  <c r="AI155" i="1"/>
  <c r="AJ155" i="1"/>
  <c r="CP155" i="1"/>
  <c r="FR155" i="1"/>
  <c r="GL155" i="1"/>
  <c r="GM155" i="1"/>
  <c r="GO155" i="1"/>
  <c r="GP155" i="1"/>
  <c r="GV155" i="1"/>
  <c r="GX155" i="1"/>
  <c r="GN155" i="1" s="1"/>
  <c r="HD155" i="1"/>
  <c r="O156" i="1"/>
  <c r="P156" i="1"/>
  <c r="Q156" i="1"/>
  <c r="R156" i="1"/>
  <c r="S156" i="1"/>
  <c r="T156" i="1"/>
  <c r="U156" i="1"/>
  <c r="V156" i="1"/>
  <c r="W156" i="1"/>
  <c r="X156" i="1"/>
  <c r="Y156" i="1"/>
  <c r="AB156" i="1"/>
  <c r="AC156" i="1"/>
  <c r="AD156" i="1"/>
  <c r="AE156" i="1"/>
  <c r="AF156" i="1"/>
  <c r="AG156" i="1"/>
  <c r="AH156" i="1"/>
  <c r="AI156" i="1"/>
  <c r="AJ156" i="1"/>
  <c r="CP156" i="1"/>
  <c r="FR156" i="1"/>
  <c r="GL156" i="1"/>
  <c r="GM156" i="1"/>
  <c r="GO156" i="1"/>
  <c r="GP156" i="1"/>
  <c r="GV156" i="1"/>
  <c r="GX156" i="1"/>
  <c r="GN156" i="1" s="1"/>
  <c r="HD156" i="1"/>
  <c r="O157" i="1"/>
  <c r="P157" i="1"/>
  <c r="Q157" i="1"/>
  <c r="R157" i="1"/>
  <c r="S157" i="1"/>
  <c r="T157" i="1"/>
  <c r="U157" i="1"/>
  <c r="V157" i="1"/>
  <c r="W157" i="1"/>
  <c r="X157" i="1"/>
  <c r="Y157" i="1"/>
  <c r="AB157" i="1"/>
  <c r="AC157" i="1"/>
  <c r="AD157" i="1"/>
  <c r="AE157" i="1"/>
  <c r="AF157" i="1"/>
  <c r="AG157" i="1"/>
  <c r="AH157" i="1"/>
  <c r="AI157" i="1"/>
  <c r="AJ157" i="1"/>
  <c r="CP157" i="1"/>
  <c r="FR157" i="1"/>
  <c r="GL157" i="1"/>
  <c r="GM157" i="1"/>
  <c r="GO157" i="1"/>
  <c r="GP157" i="1"/>
  <c r="GV157" i="1"/>
  <c r="GX157" i="1"/>
  <c r="GN157" i="1" s="1"/>
  <c r="HD157" i="1"/>
  <c r="B159" i="1"/>
  <c r="B151" i="1" s="1"/>
  <c r="C159" i="1"/>
  <c r="C151" i="1" s="1"/>
  <c r="D159" i="1"/>
  <c r="D151" i="1" s="1"/>
  <c r="F159" i="1"/>
  <c r="F151" i="1" s="1"/>
  <c r="G159" i="1"/>
  <c r="G151" i="1" s="1"/>
  <c r="AC159" i="1"/>
  <c r="CH159" i="1" s="1"/>
  <c r="AF159" i="1"/>
  <c r="AG159" i="1"/>
  <c r="AH159" i="1"/>
  <c r="AJ159" i="1"/>
  <c r="AK159" i="1"/>
  <c r="BX159" i="1"/>
  <c r="BY159" i="1"/>
  <c r="BZ159" i="1"/>
  <c r="CG159" i="1" s="1"/>
  <c r="CC159" i="1"/>
  <c r="CD159" i="1"/>
  <c r="CF159" i="1"/>
  <c r="CJ159" i="1"/>
  <c r="CK159" i="1"/>
  <c r="CL159" i="1"/>
  <c r="CM159" i="1"/>
  <c r="D189" i="1"/>
  <c r="E191" i="1"/>
  <c r="Z191" i="1"/>
  <c r="AA191" i="1"/>
  <c r="AM191" i="1"/>
  <c r="AN191" i="1"/>
  <c r="BE191" i="1"/>
  <c r="BF191" i="1"/>
  <c r="BG191" i="1"/>
  <c r="BH191" i="1"/>
  <c r="BI191" i="1"/>
  <c r="BJ191" i="1"/>
  <c r="BK191" i="1"/>
  <c r="BL191" i="1"/>
  <c r="BM191" i="1"/>
  <c r="BN191" i="1"/>
  <c r="BO191" i="1"/>
  <c r="BP191" i="1"/>
  <c r="BQ191" i="1"/>
  <c r="BR191" i="1"/>
  <c r="BS191" i="1"/>
  <c r="BT191" i="1"/>
  <c r="BU191" i="1"/>
  <c r="BV191" i="1"/>
  <c r="BW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EG191" i="1"/>
  <c r="EH191" i="1"/>
  <c r="EI191" i="1"/>
  <c r="EJ191" i="1"/>
  <c r="EK191" i="1"/>
  <c r="EL191" i="1"/>
  <c r="EM191" i="1"/>
  <c r="EN191" i="1"/>
  <c r="EO191" i="1"/>
  <c r="EP191" i="1"/>
  <c r="EQ191" i="1"/>
  <c r="ER191" i="1"/>
  <c r="ES191" i="1"/>
  <c r="ET191" i="1"/>
  <c r="EU191" i="1"/>
  <c r="EV191" i="1"/>
  <c r="EW191" i="1"/>
  <c r="EX191" i="1"/>
  <c r="EY191" i="1"/>
  <c r="EZ191" i="1"/>
  <c r="FA191" i="1"/>
  <c r="FB191" i="1"/>
  <c r="FC191" i="1"/>
  <c r="FD191" i="1"/>
  <c r="FE191" i="1"/>
  <c r="FF191" i="1"/>
  <c r="FG191" i="1"/>
  <c r="FH191" i="1"/>
  <c r="FI191" i="1"/>
  <c r="FJ191" i="1"/>
  <c r="FK191" i="1"/>
  <c r="FL191" i="1"/>
  <c r="FM191" i="1"/>
  <c r="FN191" i="1"/>
  <c r="FO191" i="1"/>
  <c r="FP191" i="1"/>
  <c r="FQ191" i="1"/>
  <c r="FR191" i="1"/>
  <c r="FS191" i="1"/>
  <c r="FT191" i="1"/>
  <c r="FU191" i="1"/>
  <c r="FV191" i="1"/>
  <c r="FW191" i="1"/>
  <c r="FX191" i="1"/>
  <c r="FY191" i="1"/>
  <c r="FZ191" i="1"/>
  <c r="GA191" i="1"/>
  <c r="GB191" i="1"/>
  <c r="GC191" i="1"/>
  <c r="GD191" i="1"/>
  <c r="GE191" i="1"/>
  <c r="GF191" i="1"/>
  <c r="GG191" i="1"/>
  <c r="GH191" i="1"/>
  <c r="GI191" i="1"/>
  <c r="GJ191" i="1"/>
  <c r="GK191" i="1"/>
  <c r="GL191" i="1"/>
  <c r="GM191" i="1"/>
  <c r="GN191" i="1"/>
  <c r="GO191" i="1"/>
  <c r="GP191" i="1"/>
  <c r="GQ191" i="1"/>
  <c r="GR191" i="1"/>
  <c r="GS191" i="1"/>
  <c r="GT191" i="1"/>
  <c r="GU191" i="1"/>
  <c r="GV191" i="1"/>
  <c r="GW191" i="1"/>
  <c r="GX191" i="1"/>
  <c r="C193" i="1"/>
  <c r="D193" i="1"/>
  <c r="P193" i="1"/>
  <c r="Q193" i="1"/>
  <c r="R193" i="1"/>
  <c r="CZ193" i="1" s="1"/>
  <c r="Y193" i="1" s="1"/>
  <c r="S193" i="1"/>
  <c r="CP193" i="1" s="1"/>
  <c r="O193" i="1" s="1"/>
  <c r="U193" i="1"/>
  <c r="G362" i="6" s="1"/>
  <c r="V193" i="1"/>
  <c r="AC193" i="1"/>
  <c r="AE193" i="1"/>
  <c r="AD193" i="1" s="1"/>
  <c r="AF193" i="1"/>
  <c r="AG193" i="1"/>
  <c r="AH193" i="1"/>
  <c r="AI193" i="1"/>
  <c r="AJ193" i="1"/>
  <c r="CQ193" i="1"/>
  <c r="CR193" i="1"/>
  <c r="CS193" i="1"/>
  <c r="CT193" i="1"/>
  <c r="CU193" i="1"/>
  <c r="T193" i="1" s="1"/>
  <c r="CV193" i="1"/>
  <c r="CW193" i="1"/>
  <c r="CX193" i="1"/>
  <c r="W193" i="1" s="1"/>
  <c r="FR193" i="1"/>
  <c r="GL193" i="1"/>
  <c r="GN193" i="1"/>
  <c r="GO193" i="1"/>
  <c r="GV193" i="1"/>
  <c r="HC193" i="1"/>
  <c r="GX193" i="1" s="1"/>
  <c r="C194" i="1"/>
  <c r="D194" i="1"/>
  <c r="P194" i="1"/>
  <c r="CP194" i="1" s="1"/>
  <c r="O194" i="1" s="1"/>
  <c r="Q194" i="1"/>
  <c r="R194" i="1"/>
  <c r="CZ194" i="1" s="1"/>
  <c r="Y194" i="1" s="1"/>
  <c r="BA378" i="6" s="1"/>
  <c r="L377" i="6" s="1"/>
  <c r="S194" i="1"/>
  <c r="U194" i="1"/>
  <c r="G371" i="6" s="1"/>
  <c r="V194" i="1"/>
  <c r="AC194" i="1"/>
  <c r="AE194" i="1"/>
  <c r="AD194" i="1" s="1"/>
  <c r="AF194" i="1"/>
  <c r="AG194" i="1"/>
  <c r="AH194" i="1"/>
  <c r="AI194" i="1"/>
  <c r="AJ194" i="1"/>
  <c r="CQ194" i="1"/>
  <c r="CR194" i="1"/>
  <c r="CS194" i="1"/>
  <c r="CT194" i="1"/>
  <c r="CU194" i="1"/>
  <c r="T194" i="1" s="1"/>
  <c r="CV194" i="1"/>
  <c r="CW194" i="1"/>
  <c r="CX194" i="1"/>
  <c r="W194" i="1" s="1"/>
  <c r="FR194" i="1"/>
  <c r="GL194" i="1"/>
  <c r="GN194" i="1"/>
  <c r="GO194" i="1"/>
  <c r="GV194" i="1"/>
  <c r="HC194" i="1"/>
  <c r="GX194" i="1" s="1"/>
  <c r="B196" i="1"/>
  <c r="B191" i="1" s="1"/>
  <c r="C196" i="1"/>
  <c r="C191" i="1" s="1"/>
  <c r="D196" i="1"/>
  <c r="D191" i="1" s="1"/>
  <c r="F196" i="1"/>
  <c r="F191" i="1" s="1"/>
  <c r="G196" i="1"/>
  <c r="G191" i="1" s="1"/>
  <c r="AC196" i="1"/>
  <c r="CE196" i="1" s="1"/>
  <c r="AD196" i="1"/>
  <c r="AE196" i="1"/>
  <c r="AF196" i="1"/>
  <c r="AG196" i="1"/>
  <c r="AH196" i="1"/>
  <c r="AI196" i="1"/>
  <c r="AJ196" i="1"/>
  <c r="BX196" i="1"/>
  <c r="BY196" i="1"/>
  <c r="CH196" i="1" s="1"/>
  <c r="BZ196" i="1"/>
  <c r="CB196" i="1"/>
  <c r="CC196" i="1"/>
  <c r="CF196" i="1"/>
  <c r="CG196" i="1"/>
  <c r="CJ196" i="1"/>
  <c r="CK196" i="1"/>
  <c r="CL196" i="1"/>
  <c r="CM196" i="1"/>
  <c r="B226" i="1"/>
  <c r="B22" i="1" s="1"/>
  <c r="C226" i="1"/>
  <c r="C22" i="1" s="1"/>
  <c r="D226" i="1"/>
  <c r="D22" i="1" s="1"/>
  <c r="F226" i="1"/>
  <c r="F22" i="1" s="1"/>
  <c r="G226" i="1"/>
  <c r="G22" i="1" s="1"/>
  <c r="B259" i="1"/>
  <c r="B18" i="1" s="1"/>
  <c r="C259" i="1"/>
  <c r="C18" i="1" s="1"/>
  <c r="D259" i="1"/>
  <c r="D18" i="1" s="1"/>
  <c r="F259" i="1"/>
  <c r="F18" i="1" s="1"/>
  <c r="G259" i="1"/>
  <c r="G18" i="1" s="1"/>
  <c r="BA319" i="6" l="1"/>
  <c r="AL159" i="1"/>
  <c r="CI32" i="1"/>
  <c r="CG32" i="1"/>
  <c r="AB196" i="1"/>
  <c r="BA369" i="6"/>
  <c r="AL196" i="1"/>
  <c r="CP153" i="1"/>
  <c r="O153" i="1" s="1"/>
  <c r="CY70" i="1"/>
  <c r="X70" i="1" s="1"/>
  <c r="AZ206" i="6" s="1"/>
  <c r="L204" i="6" s="1"/>
  <c r="GM30" i="1"/>
  <c r="GN30" i="1" s="1"/>
  <c r="CI196" i="1"/>
  <c r="GM194" i="1"/>
  <c r="GP194" i="1" s="1"/>
  <c r="CI159" i="1"/>
  <c r="CE159" i="1"/>
  <c r="GM76" i="1"/>
  <c r="GO76" i="1" s="1"/>
  <c r="GM75" i="1"/>
  <c r="GO75" i="1" s="1"/>
  <c r="GM74" i="1"/>
  <c r="GO74" i="1" s="1"/>
  <c r="GM73" i="1"/>
  <c r="GO73" i="1" s="1"/>
  <c r="GM72" i="1"/>
  <c r="GO72" i="1" s="1"/>
  <c r="GM71" i="1"/>
  <c r="GO71" i="1" s="1"/>
  <c r="GM70" i="1"/>
  <c r="GN70" i="1" s="1"/>
  <c r="CY194" i="1"/>
  <c r="X194" i="1" s="1"/>
  <c r="AZ378" i="6" s="1"/>
  <c r="L376" i="6" s="1"/>
  <c r="GM153" i="1"/>
  <c r="GN153" i="1" s="1"/>
  <c r="CY74" i="1"/>
  <c r="X74" i="1" s="1"/>
  <c r="AE159" i="1"/>
  <c r="GM68" i="1"/>
  <c r="GO68" i="1" s="1"/>
  <c r="GM67" i="1"/>
  <c r="GO67" i="1" s="1"/>
  <c r="CY193" i="1"/>
  <c r="X193" i="1" s="1"/>
  <c r="CY76" i="1"/>
  <c r="X76" i="1" s="1"/>
  <c r="AR79" i="6"/>
  <c r="AT79" i="6"/>
  <c r="L63" i="6"/>
  <c r="L125" i="6"/>
  <c r="L123" i="6" s="1"/>
  <c r="AR100" i="6"/>
  <c r="AT100" i="6"/>
  <c r="L85" i="6"/>
  <c r="AR112" i="6"/>
  <c r="AT112" i="6"/>
  <c r="L104" i="6"/>
  <c r="AR169" i="6"/>
  <c r="AT169" i="6"/>
  <c r="L153" i="6"/>
  <c r="AR189" i="6"/>
  <c r="AT189" i="6"/>
  <c r="L174" i="6"/>
  <c r="AR206" i="6"/>
  <c r="AT206" i="6"/>
  <c r="L193" i="6"/>
  <c r="AR228" i="6"/>
  <c r="AT228" i="6"/>
  <c r="L210" i="6"/>
  <c r="AW264" i="6"/>
  <c r="AN264" i="6"/>
  <c r="K264" i="6"/>
  <c r="I264" i="6" s="1"/>
  <c r="L294" i="6"/>
  <c r="L282" i="6"/>
  <c r="AW267" i="6"/>
  <c r="AN267" i="6"/>
  <c r="K267" i="6"/>
  <c r="I267" i="6" s="1"/>
  <c r="AW270" i="6"/>
  <c r="AN270" i="6"/>
  <c r="K270" i="6"/>
  <c r="I270" i="6" s="1"/>
  <c r="AW273" i="6"/>
  <c r="AN273" i="6"/>
  <c r="K273" i="6"/>
  <c r="I273" i="6" s="1"/>
  <c r="AW276" i="6"/>
  <c r="AN276" i="6"/>
  <c r="K276" i="6"/>
  <c r="I276" i="6" s="1"/>
  <c r="AW278" i="6"/>
  <c r="L426" i="6" s="1"/>
  <c r="L424" i="6" s="1"/>
  <c r="AN278" i="6"/>
  <c r="K278" i="6"/>
  <c r="I278" i="6" s="1"/>
  <c r="AR319" i="6"/>
  <c r="L315" i="6"/>
  <c r="L344" i="6"/>
  <c r="L317" i="6"/>
  <c r="L345" i="6"/>
  <c r="L318" i="6"/>
  <c r="AO321" i="6"/>
  <c r="L334" i="6" s="1"/>
  <c r="L332" i="6" s="1"/>
  <c r="AN321" i="6"/>
  <c r="K321" i="6"/>
  <c r="I321" i="6" s="1"/>
  <c r="BB323" i="6"/>
  <c r="AN323" i="6"/>
  <c r="K323" i="6"/>
  <c r="I323" i="6" s="1"/>
  <c r="BB325" i="6"/>
  <c r="AN325" i="6"/>
  <c r="K325" i="6"/>
  <c r="I325" i="6" s="1"/>
  <c r="BB327" i="6"/>
  <c r="AN327" i="6"/>
  <c r="K327" i="6"/>
  <c r="I327" i="6" s="1"/>
  <c r="AR369" i="6"/>
  <c r="L365" i="6"/>
  <c r="L480" i="6"/>
  <c r="L396" i="6"/>
  <c r="L368" i="6"/>
  <c r="L469" i="6"/>
  <c r="L385" i="6"/>
  <c r="L471" i="6"/>
  <c r="L387" i="6"/>
  <c r="L475" i="6"/>
  <c r="L473" i="6" s="1"/>
  <c r="L391" i="6"/>
  <c r="L389" i="6" s="1"/>
  <c r="AR378" i="6"/>
  <c r="L375" i="6" s="1"/>
  <c r="AN378" i="6"/>
  <c r="K378" i="6"/>
  <c r="L374" i="6"/>
  <c r="CM191" i="1"/>
  <c r="BD196" i="1"/>
  <c r="CL191" i="1"/>
  <c r="BC196" i="1"/>
  <c r="CK191" i="1"/>
  <c r="BB196" i="1"/>
  <c r="CJ191" i="1"/>
  <c r="BA196" i="1"/>
  <c r="CI191" i="1"/>
  <c r="AZ196" i="1"/>
  <c r="CH191" i="1"/>
  <c r="AY196" i="1"/>
  <c r="CG191" i="1"/>
  <c r="AX196" i="1"/>
  <c r="CF191" i="1"/>
  <c r="AW196" i="1"/>
  <c r="CE191" i="1"/>
  <c r="AV196" i="1"/>
  <c r="CC191" i="1"/>
  <c r="AT196" i="1"/>
  <c r="CB191" i="1"/>
  <c r="AS196" i="1"/>
  <c r="BZ191" i="1"/>
  <c r="AQ196" i="1"/>
  <c r="BY191" i="1"/>
  <c r="AP196" i="1"/>
  <c r="BX191" i="1"/>
  <c r="AO196" i="1"/>
  <c r="AL191" i="1"/>
  <c r="Y196" i="1"/>
  <c r="AJ191" i="1"/>
  <c r="W196" i="1"/>
  <c r="AI191" i="1"/>
  <c r="V196" i="1"/>
  <c r="AH191" i="1"/>
  <c r="U196" i="1"/>
  <c r="AG191" i="1"/>
  <c r="T196" i="1"/>
  <c r="AF191" i="1"/>
  <c r="S196" i="1"/>
  <c r="AE191" i="1"/>
  <c r="R196" i="1"/>
  <c r="AD191" i="1"/>
  <c r="Q196" i="1"/>
  <c r="AC191" i="1"/>
  <c r="P196" i="1"/>
  <c r="AB191" i="1"/>
  <c r="O196" i="1"/>
  <c r="AB194" i="1"/>
  <c r="AB193" i="1"/>
  <c r="CM151" i="1"/>
  <c r="BD159" i="1"/>
  <c r="CL151" i="1"/>
  <c r="BC159" i="1"/>
  <c r="CK151" i="1"/>
  <c r="BB159" i="1"/>
  <c r="CJ151" i="1"/>
  <c r="BA159" i="1"/>
  <c r="CI151" i="1"/>
  <c r="AZ159" i="1"/>
  <c r="CH151" i="1"/>
  <c r="AY159" i="1"/>
  <c r="CG151" i="1"/>
  <c r="AX159" i="1"/>
  <c r="CF151" i="1"/>
  <c r="AW159" i="1"/>
  <c r="CE151" i="1"/>
  <c r="AV159" i="1"/>
  <c r="CD151" i="1"/>
  <c r="AU159" i="1"/>
  <c r="CC151" i="1"/>
  <c r="AT159" i="1"/>
  <c r="BZ151" i="1"/>
  <c r="AQ159" i="1"/>
  <c r="BY151" i="1"/>
  <c r="AP159" i="1"/>
  <c r="BX151" i="1"/>
  <c r="AO159" i="1"/>
  <c r="AL151" i="1"/>
  <c r="Y159" i="1"/>
  <c r="AK151" i="1"/>
  <c r="X159" i="1"/>
  <c r="AJ151" i="1"/>
  <c r="W159" i="1"/>
  <c r="AI151" i="1"/>
  <c r="V159" i="1"/>
  <c r="AH151" i="1"/>
  <c r="U159" i="1"/>
  <c r="AG151" i="1"/>
  <c r="T159" i="1"/>
  <c r="AF151" i="1"/>
  <c r="S159" i="1"/>
  <c r="AE151" i="1"/>
  <c r="R159" i="1"/>
  <c r="AD151" i="1"/>
  <c r="Q159" i="1"/>
  <c r="AC151" i="1"/>
  <c r="P159" i="1"/>
  <c r="CP154" i="1"/>
  <c r="O154" i="1" s="1"/>
  <c r="AB154" i="1"/>
  <c r="AB153" i="1"/>
  <c r="CM110" i="1"/>
  <c r="BD119" i="1"/>
  <c r="CL110" i="1"/>
  <c r="BC119" i="1"/>
  <c r="CK110" i="1"/>
  <c r="BB119" i="1"/>
  <c r="CJ110" i="1"/>
  <c r="BA119" i="1"/>
  <c r="CI110" i="1"/>
  <c r="AZ119" i="1"/>
  <c r="CH110" i="1"/>
  <c r="AY119" i="1"/>
  <c r="CG110" i="1"/>
  <c r="AX119" i="1"/>
  <c r="CF110" i="1"/>
  <c r="AW119" i="1"/>
  <c r="CE110" i="1"/>
  <c r="AV119" i="1"/>
  <c r="CD110" i="1"/>
  <c r="AU119" i="1"/>
  <c r="BZ110" i="1"/>
  <c r="AQ119" i="1"/>
  <c r="BY110" i="1"/>
  <c r="AP119" i="1"/>
  <c r="BX110" i="1"/>
  <c r="AO119" i="1"/>
  <c r="AL110" i="1"/>
  <c r="Y119" i="1"/>
  <c r="AK110" i="1"/>
  <c r="X119" i="1"/>
  <c r="AJ110" i="1"/>
  <c r="W119" i="1"/>
  <c r="AI110" i="1"/>
  <c r="V119" i="1"/>
  <c r="AH110" i="1"/>
  <c r="U119" i="1"/>
  <c r="AG110" i="1"/>
  <c r="T119" i="1"/>
  <c r="AF110" i="1"/>
  <c r="S119" i="1"/>
  <c r="AE110" i="1"/>
  <c r="R119" i="1"/>
  <c r="AD110" i="1"/>
  <c r="Q119" i="1"/>
  <c r="AC110" i="1"/>
  <c r="P119" i="1"/>
  <c r="CP117" i="1"/>
  <c r="O117" i="1" s="1"/>
  <c r="GM117" i="1" s="1"/>
  <c r="GN117" i="1" s="1"/>
  <c r="CB119" i="1" s="1"/>
  <c r="AB117" i="1"/>
  <c r="CP116" i="1"/>
  <c r="O116" i="1" s="1"/>
  <c r="GM116" i="1" s="1"/>
  <c r="GO116" i="1" s="1"/>
  <c r="AB116" i="1"/>
  <c r="CP115" i="1"/>
  <c r="O115" i="1" s="1"/>
  <c r="GM115" i="1" s="1"/>
  <c r="GO115" i="1" s="1"/>
  <c r="AB115" i="1"/>
  <c r="CP114" i="1"/>
  <c r="O114" i="1" s="1"/>
  <c r="GM114" i="1" s="1"/>
  <c r="GO114" i="1" s="1"/>
  <c r="AB114" i="1"/>
  <c r="CP113" i="1"/>
  <c r="O113" i="1" s="1"/>
  <c r="GM113" i="1" s="1"/>
  <c r="GO113" i="1" s="1"/>
  <c r="AB113" i="1"/>
  <c r="CP112" i="1"/>
  <c r="O112" i="1" s="1"/>
  <c r="AB112" i="1"/>
  <c r="CM64" i="1"/>
  <c r="BD78" i="1"/>
  <c r="CL64" i="1"/>
  <c r="BC78" i="1"/>
  <c r="CK64" i="1"/>
  <c r="BB78" i="1"/>
  <c r="CJ64" i="1"/>
  <c r="BA78" i="1"/>
  <c r="CI64" i="1"/>
  <c r="AZ78" i="1"/>
  <c r="CG64" i="1"/>
  <c r="AX78" i="1"/>
  <c r="CD64" i="1"/>
  <c r="AU78" i="1"/>
  <c r="BZ64" i="1"/>
  <c r="AQ78" i="1"/>
  <c r="BY64" i="1"/>
  <c r="AP78" i="1"/>
  <c r="BX64" i="1"/>
  <c r="AO78" i="1"/>
  <c r="AJ64" i="1"/>
  <c r="W78" i="1"/>
  <c r="AG64" i="1"/>
  <c r="T78" i="1"/>
  <c r="AB76" i="1"/>
  <c r="AB75" i="1"/>
  <c r="AB74" i="1"/>
  <c r="AB73" i="1"/>
  <c r="AB72" i="1"/>
  <c r="AB71" i="1"/>
  <c r="AB70" i="1"/>
  <c r="AB69" i="1"/>
  <c r="CU58" i="3"/>
  <c r="CV58" i="3"/>
  <c r="U69" i="1" s="1"/>
  <c r="G172" i="6" s="1"/>
  <c r="CX58" i="3"/>
  <c r="CX59" i="3"/>
  <c r="CW60" i="3"/>
  <c r="CX60" i="3"/>
  <c r="CW61" i="3"/>
  <c r="CX61" i="3"/>
  <c r="CW62" i="3"/>
  <c r="CX62" i="3"/>
  <c r="CX63" i="3"/>
  <c r="CX64" i="3"/>
  <c r="CX65" i="3"/>
  <c r="CX66" i="3"/>
  <c r="AB68" i="1"/>
  <c r="AB67" i="1"/>
  <c r="AB66" i="1"/>
  <c r="CU26" i="3"/>
  <c r="CV26" i="3"/>
  <c r="CX26" i="3"/>
  <c r="CU27" i="3"/>
  <c r="CV27" i="3"/>
  <c r="CX27" i="3"/>
  <c r="CU28" i="3"/>
  <c r="CV28" i="3"/>
  <c r="CX28" i="3"/>
  <c r="CU29" i="3"/>
  <c r="CV29" i="3"/>
  <c r="CX29" i="3"/>
  <c r="CX30" i="3"/>
  <c r="CW31" i="3"/>
  <c r="CX31" i="3"/>
  <c r="CW32" i="3"/>
  <c r="CX32" i="3"/>
  <c r="CW33" i="3"/>
  <c r="CX33" i="3"/>
  <c r="CW34" i="3"/>
  <c r="CX34" i="3"/>
  <c r="CW35" i="3"/>
  <c r="CX35" i="3"/>
  <c r="CX36" i="3"/>
  <c r="CX37" i="3"/>
  <c r="CX38" i="3"/>
  <c r="CM26" i="1"/>
  <c r="BD32" i="1"/>
  <c r="CL26" i="1"/>
  <c r="BC32" i="1"/>
  <c r="CK26" i="1"/>
  <c r="BB32" i="1"/>
  <c r="CJ26" i="1"/>
  <c r="BA32" i="1"/>
  <c r="CI26" i="1"/>
  <c r="AZ32" i="1"/>
  <c r="CG26" i="1"/>
  <c r="AX32" i="1"/>
  <c r="CD26" i="1"/>
  <c r="AU32" i="1"/>
  <c r="BZ26" i="1"/>
  <c r="AQ32" i="1"/>
  <c r="BY26" i="1"/>
  <c r="AP32" i="1"/>
  <c r="BX26" i="1"/>
  <c r="AO32" i="1"/>
  <c r="AJ26" i="1"/>
  <c r="W32" i="1"/>
  <c r="AG26" i="1"/>
  <c r="T32" i="1"/>
  <c r="AB30" i="1"/>
  <c r="AB29" i="1"/>
  <c r="CU14" i="3"/>
  <c r="CV14" i="3"/>
  <c r="U29" i="1" s="1"/>
  <c r="G83" i="6" s="1"/>
  <c r="CX14" i="3"/>
  <c r="CX15" i="3"/>
  <c r="CW16" i="3"/>
  <c r="CX16" i="3"/>
  <c r="CW17" i="3"/>
  <c r="CX17" i="3"/>
  <c r="CW18" i="3"/>
  <c r="CX18" i="3"/>
  <c r="CX19" i="3"/>
  <c r="CX20" i="3"/>
  <c r="CX21" i="3"/>
  <c r="CX22" i="3"/>
  <c r="AB28" i="1"/>
  <c r="CU1" i="3"/>
  <c r="CV1" i="3"/>
  <c r="CX1" i="3"/>
  <c r="CU2" i="3"/>
  <c r="CV2" i="3"/>
  <c r="CX2" i="3"/>
  <c r="CU3" i="3"/>
  <c r="CV3" i="3"/>
  <c r="CX3" i="3"/>
  <c r="CU4" i="3"/>
  <c r="CV4" i="3"/>
  <c r="CX4" i="3"/>
  <c r="CX5" i="3"/>
  <c r="CW6" i="3"/>
  <c r="CX6" i="3"/>
  <c r="CW7" i="3"/>
  <c r="CX7" i="3"/>
  <c r="CW8" i="3"/>
  <c r="CX8" i="3"/>
  <c r="CW9" i="3"/>
  <c r="CX9" i="3"/>
  <c r="CW10" i="3"/>
  <c r="CX10" i="3"/>
  <c r="CX11" i="3"/>
  <c r="CX12" i="3"/>
  <c r="CX13" i="3"/>
  <c r="AZ369" i="6" l="1"/>
  <c r="AK196" i="1"/>
  <c r="GM193" i="1"/>
  <c r="BU378" i="6"/>
  <c r="BV378" i="6" s="1"/>
  <c r="BR378" i="6"/>
  <c r="I378" i="6"/>
  <c r="L383" i="6"/>
  <c r="L467" i="6"/>
  <c r="L478" i="6"/>
  <c r="L466" i="6"/>
  <c r="L464" i="6" s="1"/>
  <c r="L394" i="6"/>
  <c r="L382" i="6"/>
  <c r="L380" i="6" s="1"/>
  <c r="L366" i="6"/>
  <c r="L497" i="6"/>
  <c r="L428" i="6"/>
  <c r="L342" i="6"/>
  <c r="AN319" i="6"/>
  <c r="K319" i="6"/>
  <c r="I319" i="6" s="1"/>
  <c r="L343" i="6"/>
  <c r="L331" i="6"/>
  <c r="L329" i="6" s="1"/>
  <c r="L352" i="6" s="1"/>
  <c r="L316" i="6"/>
  <c r="L291" i="6"/>
  <c r="L289" i="6" s="1"/>
  <c r="L280" i="6" s="1"/>
  <c r="L303" i="6" s="1"/>
  <c r="L495" i="6"/>
  <c r="L493" i="6" s="1"/>
  <c r="L446" i="6"/>
  <c r="L444" i="6" s="1"/>
  <c r="AO228" i="6"/>
  <c r="AN228" i="6"/>
  <c r="K228" i="6"/>
  <c r="I228" i="6" s="1"/>
  <c r="L224" i="6"/>
  <c r="L225" i="6"/>
  <c r="AO206" i="6"/>
  <c r="AN206" i="6"/>
  <c r="K206" i="6"/>
  <c r="I206" i="6" s="1"/>
  <c r="L202" i="6"/>
  <c r="L203" i="6"/>
  <c r="AO189" i="6"/>
  <c r="L185" i="6"/>
  <c r="L186" i="6"/>
  <c r="AO169" i="6"/>
  <c r="L235" i="6" s="1"/>
  <c r="L165" i="6"/>
  <c r="L237" i="6"/>
  <c r="L244" i="6"/>
  <c r="L232" i="6"/>
  <c r="L166" i="6"/>
  <c r="AO112" i="6"/>
  <c r="AN112" i="6"/>
  <c r="K112" i="6"/>
  <c r="I112" i="6" s="1"/>
  <c r="L108" i="6"/>
  <c r="L109" i="6"/>
  <c r="AO100" i="6"/>
  <c r="L440" i="6" s="1"/>
  <c r="L96" i="6"/>
  <c r="L442" i="6"/>
  <c r="L449" i="6"/>
  <c r="L437" i="6"/>
  <c r="L97" i="6"/>
  <c r="AO79" i="6"/>
  <c r="L75" i="6"/>
  <c r="K41" i="6"/>
  <c r="L491" i="6"/>
  <c r="L422" i="6"/>
  <c r="L121" i="6"/>
  <c r="K40" i="6"/>
  <c r="L498" i="6"/>
  <c r="L486" i="6"/>
  <c r="L429" i="6"/>
  <c r="L417" i="6"/>
  <c r="L128" i="6"/>
  <c r="L116" i="6"/>
  <c r="L76" i="6"/>
  <c r="DF13" i="3"/>
  <c r="DJ13" i="3" s="1"/>
  <c r="DG13" i="3"/>
  <c r="DH13" i="3"/>
  <c r="DI13" i="3"/>
  <c r="DF12" i="3"/>
  <c r="DJ12" i="3" s="1"/>
  <c r="DG12" i="3"/>
  <c r="DH12" i="3"/>
  <c r="DI12" i="3"/>
  <c r="DF11" i="3"/>
  <c r="DJ11" i="3" s="1"/>
  <c r="DG11" i="3"/>
  <c r="DH11" i="3"/>
  <c r="DI11" i="3"/>
  <c r="DF10" i="3"/>
  <c r="DG10" i="3"/>
  <c r="DH10" i="3"/>
  <c r="DI10" i="3"/>
  <c r="DF9" i="3"/>
  <c r="DG9" i="3"/>
  <c r="DH9" i="3"/>
  <c r="DI9" i="3"/>
  <c r="DF8" i="3"/>
  <c r="DG8" i="3"/>
  <c r="DH8" i="3"/>
  <c r="DI8" i="3"/>
  <c r="DF7" i="3"/>
  <c r="DG7" i="3"/>
  <c r="DH7" i="3"/>
  <c r="DI7" i="3"/>
  <c r="DF6" i="3"/>
  <c r="DG6" i="3"/>
  <c r="DH6" i="3"/>
  <c r="DI6" i="3"/>
  <c r="V28" i="1"/>
  <c r="G64" i="6" s="1"/>
  <c r="DF5" i="3"/>
  <c r="DG5" i="3"/>
  <c r="DH5" i="3"/>
  <c r="DI5" i="3"/>
  <c r="DJ5" i="3" s="1"/>
  <c r="DF4" i="3"/>
  <c r="DG4" i="3"/>
  <c r="DH4" i="3"/>
  <c r="DI4" i="3"/>
  <c r="DJ4" i="3" s="1"/>
  <c r="DF3" i="3"/>
  <c r="DG3" i="3"/>
  <c r="DH3" i="3"/>
  <c r="DI3" i="3"/>
  <c r="DJ3" i="3" s="1"/>
  <c r="DF2" i="3"/>
  <c r="DG2" i="3"/>
  <c r="DH2" i="3"/>
  <c r="DI2" i="3"/>
  <c r="DJ2" i="3" s="1"/>
  <c r="DF1" i="3"/>
  <c r="P28" i="1" s="1"/>
  <c r="DG1" i="3"/>
  <c r="Q28" i="1" s="1"/>
  <c r="DH1" i="3"/>
  <c r="R28" i="1" s="1"/>
  <c r="DI1" i="3"/>
  <c r="U28" i="1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G18" i="3"/>
  <c r="DH18" i="3"/>
  <c r="DI18" i="3"/>
  <c r="DF17" i="3"/>
  <c r="DG17" i="3"/>
  <c r="DH17" i="3"/>
  <c r="DI17" i="3"/>
  <c r="DF16" i="3"/>
  <c r="DG16" i="3"/>
  <c r="DH16" i="3"/>
  <c r="DI16" i="3"/>
  <c r="V29" i="1"/>
  <c r="G86" i="6" s="1"/>
  <c r="DF15" i="3"/>
  <c r="DG15" i="3"/>
  <c r="DH15" i="3"/>
  <c r="DI15" i="3"/>
  <c r="DJ15" i="3" s="1"/>
  <c r="DF14" i="3"/>
  <c r="P29" i="1" s="1"/>
  <c r="DG14" i="3"/>
  <c r="Q29" i="1" s="1"/>
  <c r="DH14" i="3"/>
  <c r="R29" i="1" s="1"/>
  <c r="DI14" i="3"/>
  <c r="T26" i="1"/>
  <c r="F53" i="1"/>
  <c r="T226" i="1"/>
  <c r="W26" i="1"/>
  <c r="F56" i="1"/>
  <c r="W226" i="1"/>
  <c r="AO26" i="1"/>
  <c r="F36" i="1"/>
  <c r="AO226" i="1"/>
  <c r="AP26" i="1"/>
  <c r="F41" i="1"/>
  <c r="AP226" i="1"/>
  <c r="AQ26" i="1"/>
  <c r="F42" i="1"/>
  <c r="AQ226" i="1"/>
  <c r="AU26" i="1"/>
  <c r="F51" i="1"/>
  <c r="AX26" i="1"/>
  <c r="F39" i="1"/>
  <c r="AX226" i="1"/>
  <c r="AZ26" i="1"/>
  <c r="F43" i="1"/>
  <c r="AZ226" i="1"/>
  <c r="BA26" i="1"/>
  <c r="F52" i="1"/>
  <c r="BA226" i="1"/>
  <c r="BB26" i="1"/>
  <c r="F45" i="1"/>
  <c r="BB226" i="1"/>
  <c r="BC26" i="1"/>
  <c r="F48" i="1"/>
  <c r="BC226" i="1"/>
  <c r="BD26" i="1"/>
  <c r="F57" i="1"/>
  <c r="BD226" i="1"/>
  <c r="DF38" i="3"/>
  <c r="DJ38" i="3" s="1"/>
  <c r="DG38" i="3"/>
  <c r="DH38" i="3"/>
  <c r="DI38" i="3"/>
  <c r="DF37" i="3"/>
  <c r="DJ37" i="3" s="1"/>
  <c r="DG37" i="3"/>
  <c r="DH37" i="3"/>
  <c r="DI37" i="3"/>
  <c r="DF36" i="3"/>
  <c r="DJ36" i="3" s="1"/>
  <c r="DG36" i="3"/>
  <c r="DH36" i="3"/>
  <c r="DI36" i="3"/>
  <c r="DF35" i="3"/>
  <c r="DG35" i="3"/>
  <c r="DH35" i="3"/>
  <c r="DI35" i="3"/>
  <c r="DF34" i="3"/>
  <c r="DG34" i="3"/>
  <c r="DH34" i="3"/>
  <c r="DI34" i="3"/>
  <c r="DF33" i="3"/>
  <c r="DG33" i="3"/>
  <c r="DH33" i="3"/>
  <c r="DI33" i="3"/>
  <c r="DF32" i="3"/>
  <c r="DG32" i="3"/>
  <c r="DH32" i="3"/>
  <c r="DI32" i="3"/>
  <c r="DF31" i="3"/>
  <c r="DG31" i="3"/>
  <c r="DH31" i="3"/>
  <c r="DI31" i="3"/>
  <c r="V66" i="1"/>
  <c r="G154" i="6" s="1"/>
  <c r="DF30" i="3"/>
  <c r="DG30" i="3"/>
  <c r="DH30" i="3"/>
  <c r="DI30" i="3"/>
  <c r="DJ30" i="3" s="1"/>
  <c r="DF29" i="3"/>
  <c r="DG29" i="3"/>
  <c r="DH29" i="3"/>
  <c r="DI29" i="3"/>
  <c r="DJ29" i="3" s="1"/>
  <c r="DF28" i="3"/>
  <c r="DG28" i="3"/>
  <c r="DH28" i="3"/>
  <c r="DI28" i="3"/>
  <c r="DJ28" i="3" s="1"/>
  <c r="DF27" i="3"/>
  <c r="DG27" i="3"/>
  <c r="DH27" i="3"/>
  <c r="DI27" i="3"/>
  <c r="DJ27" i="3" s="1"/>
  <c r="DF26" i="3"/>
  <c r="P66" i="1" s="1"/>
  <c r="DG26" i="3"/>
  <c r="Q66" i="1" s="1"/>
  <c r="DH26" i="3"/>
  <c r="R66" i="1" s="1"/>
  <c r="DI26" i="3"/>
  <c r="U66" i="1"/>
  <c r="DF66" i="3"/>
  <c r="DJ66" i="3" s="1"/>
  <c r="DG66" i="3"/>
  <c r="DH66" i="3"/>
  <c r="DI66" i="3"/>
  <c r="DF65" i="3"/>
  <c r="DJ65" i="3" s="1"/>
  <c r="DG65" i="3"/>
  <c r="DH65" i="3"/>
  <c r="DI65" i="3"/>
  <c r="DF64" i="3"/>
  <c r="DJ64" i="3" s="1"/>
  <c r="DG64" i="3"/>
  <c r="DH64" i="3"/>
  <c r="DI64" i="3"/>
  <c r="DF63" i="3"/>
  <c r="DJ63" i="3" s="1"/>
  <c r="DG63" i="3"/>
  <c r="DH63" i="3"/>
  <c r="DI63" i="3"/>
  <c r="DF62" i="3"/>
  <c r="DG62" i="3"/>
  <c r="DH62" i="3"/>
  <c r="DI62" i="3"/>
  <c r="DF61" i="3"/>
  <c r="DG61" i="3"/>
  <c r="DH61" i="3"/>
  <c r="DI61" i="3"/>
  <c r="DF60" i="3"/>
  <c r="DG60" i="3"/>
  <c r="DH60" i="3"/>
  <c r="DI60" i="3"/>
  <c r="V69" i="1"/>
  <c r="G175" i="6" s="1"/>
  <c r="DF59" i="3"/>
  <c r="DG59" i="3"/>
  <c r="DH59" i="3"/>
  <c r="DI59" i="3"/>
  <c r="DJ59" i="3" s="1"/>
  <c r="DF58" i="3"/>
  <c r="P69" i="1" s="1"/>
  <c r="DG58" i="3"/>
  <c r="Q69" i="1" s="1"/>
  <c r="DH58" i="3"/>
  <c r="R69" i="1" s="1"/>
  <c r="DI58" i="3"/>
  <c r="T64" i="1"/>
  <c r="F99" i="1"/>
  <c r="W64" i="1"/>
  <c r="F102" i="1"/>
  <c r="AO64" i="1"/>
  <c r="F82" i="1"/>
  <c r="AP64" i="1"/>
  <c r="F87" i="1"/>
  <c r="AQ64" i="1"/>
  <c r="F88" i="1"/>
  <c r="AU64" i="1"/>
  <c r="F97" i="1"/>
  <c r="AX64" i="1"/>
  <c r="F85" i="1"/>
  <c r="AZ64" i="1"/>
  <c r="F89" i="1"/>
  <c r="BA64" i="1"/>
  <c r="F98" i="1"/>
  <c r="BB64" i="1"/>
  <c r="F91" i="1"/>
  <c r="BC64" i="1"/>
  <c r="F94" i="1"/>
  <c r="BD64" i="1"/>
  <c r="F103" i="1"/>
  <c r="GM112" i="1"/>
  <c r="AB119" i="1"/>
  <c r="CB110" i="1"/>
  <c r="AS119" i="1"/>
  <c r="P110" i="1"/>
  <c r="F122" i="1"/>
  <c r="Q110" i="1"/>
  <c r="F131" i="1"/>
  <c r="R110" i="1"/>
  <c r="F133" i="1"/>
  <c r="S110" i="1"/>
  <c r="F134" i="1"/>
  <c r="T110" i="1"/>
  <c r="F140" i="1"/>
  <c r="U110" i="1"/>
  <c r="F141" i="1"/>
  <c r="V110" i="1"/>
  <c r="F142" i="1"/>
  <c r="W110" i="1"/>
  <c r="F143" i="1"/>
  <c r="X110" i="1"/>
  <c r="F145" i="1"/>
  <c r="Y110" i="1"/>
  <c r="F146" i="1"/>
  <c r="AO110" i="1"/>
  <c r="F123" i="1"/>
  <c r="AP110" i="1"/>
  <c r="F128" i="1"/>
  <c r="AQ110" i="1"/>
  <c r="F129" i="1"/>
  <c r="AU110" i="1"/>
  <c r="F138" i="1"/>
  <c r="AV110" i="1"/>
  <c r="F124" i="1"/>
  <c r="AW110" i="1"/>
  <c r="F125" i="1"/>
  <c r="AX110" i="1"/>
  <c r="F126" i="1"/>
  <c r="AY110" i="1"/>
  <c r="F127" i="1"/>
  <c r="AZ110" i="1"/>
  <c r="F130" i="1"/>
  <c r="BA110" i="1"/>
  <c r="F139" i="1"/>
  <c r="BB110" i="1"/>
  <c r="F132" i="1"/>
  <c r="BC110" i="1"/>
  <c r="F135" i="1"/>
  <c r="BD110" i="1"/>
  <c r="F144" i="1"/>
  <c r="GM154" i="1"/>
  <c r="AB159" i="1"/>
  <c r="P151" i="1"/>
  <c r="F162" i="1"/>
  <c r="Q151" i="1"/>
  <c r="F171" i="1"/>
  <c r="R151" i="1"/>
  <c r="F173" i="1"/>
  <c r="S151" i="1"/>
  <c r="F174" i="1"/>
  <c r="T151" i="1"/>
  <c r="F180" i="1"/>
  <c r="U151" i="1"/>
  <c r="F181" i="1"/>
  <c r="G356" i="6" s="1"/>
  <c r="V151" i="1"/>
  <c r="F182" i="1"/>
  <c r="G357" i="6" s="1"/>
  <c r="W151" i="1"/>
  <c r="F183" i="1"/>
  <c r="X151" i="1"/>
  <c r="F185" i="1"/>
  <c r="Y151" i="1"/>
  <c r="F186" i="1"/>
  <c r="AO151" i="1"/>
  <c r="F163" i="1"/>
  <c r="AP151" i="1"/>
  <c r="F168" i="1"/>
  <c r="AQ151" i="1"/>
  <c r="F169" i="1"/>
  <c r="AT151" i="1"/>
  <c r="F177" i="1"/>
  <c r="AU151" i="1"/>
  <c r="F178" i="1"/>
  <c r="AV151" i="1"/>
  <c r="F164" i="1"/>
  <c r="AW151" i="1"/>
  <c r="F165" i="1"/>
  <c r="AX151" i="1"/>
  <c r="F166" i="1"/>
  <c r="AY151" i="1"/>
  <c r="F167" i="1"/>
  <c r="AZ151" i="1"/>
  <c r="F170" i="1"/>
  <c r="BA151" i="1"/>
  <c r="F179" i="1"/>
  <c r="BB151" i="1"/>
  <c r="F172" i="1"/>
  <c r="BC151" i="1"/>
  <c r="F175" i="1"/>
  <c r="BD151" i="1"/>
  <c r="F184" i="1"/>
  <c r="O191" i="1"/>
  <c r="F198" i="1"/>
  <c r="P191" i="1"/>
  <c r="F199" i="1"/>
  <c r="Q191" i="1"/>
  <c r="F208" i="1"/>
  <c r="R191" i="1"/>
  <c r="F210" i="1"/>
  <c r="S191" i="1"/>
  <c r="F211" i="1"/>
  <c r="T191" i="1"/>
  <c r="F217" i="1"/>
  <c r="U191" i="1"/>
  <c r="F218" i="1"/>
  <c r="G407" i="6" s="1"/>
  <c r="V191" i="1"/>
  <c r="F219" i="1"/>
  <c r="G408" i="6" s="1"/>
  <c r="W191" i="1"/>
  <c r="F220" i="1"/>
  <c r="Y191" i="1"/>
  <c r="F223" i="1"/>
  <c r="AO191" i="1"/>
  <c r="F200" i="1"/>
  <c r="AP191" i="1"/>
  <c r="F205" i="1"/>
  <c r="AQ191" i="1"/>
  <c r="F206" i="1"/>
  <c r="AS191" i="1"/>
  <c r="F213" i="1"/>
  <c r="AT191" i="1"/>
  <c r="F214" i="1"/>
  <c r="AV191" i="1"/>
  <c r="F201" i="1"/>
  <c r="AW191" i="1"/>
  <c r="F202" i="1"/>
  <c r="AX191" i="1"/>
  <c r="F203" i="1"/>
  <c r="AY191" i="1"/>
  <c r="F204" i="1"/>
  <c r="AZ191" i="1"/>
  <c r="F207" i="1"/>
  <c r="BA191" i="1"/>
  <c r="F216" i="1"/>
  <c r="BB191" i="1"/>
  <c r="F209" i="1"/>
  <c r="BC191" i="1"/>
  <c r="F212" i="1"/>
  <c r="BD191" i="1"/>
  <c r="F221" i="1"/>
  <c r="GP193" i="1" l="1"/>
  <c r="CD196" i="1" s="1"/>
  <c r="CA196" i="1"/>
  <c r="X196" i="1"/>
  <c r="AK191" i="1"/>
  <c r="L479" i="6"/>
  <c r="L458" i="6" s="1"/>
  <c r="L505" i="6" s="1"/>
  <c r="L395" i="6"/>
  <c r="L403" i="6" s="1"/>
  <c r="L367" i="6"/>
  <c r="AH78" i="1"/>
  <c r="G148" i="6"/>
  <c r="AH32" i="1"/>
  <c r="G58" i="6"/>
  <c r="L489" i="6"/>
  <c r="L487" i="6" s="1"/>
  <c r="L484" i="6" s="1"/>
  <c r="L420" i="6"/>
  <c r="L418" i="6" s="1"/>
  <c r="L415" i="6" s="1"/>
  <c r="L119" i="6"/>
  <c r="L117" i="6" s="1"/>
  <c r="L114" i="6" s="1"/>
  <c r="L438" i="6"/>
  <c r="L435" i="6" s="1"/>
  <c r="L233" i="6"/>
  <c r="L230" i="6" s="1"/>
  <c r="L462" i="6"/>
  <c r="AB151" i="1"/>
  <c r="O159" i="1"/>
  <c r="GN154" i="1"/>
  <c r="CB159" i="1" s="1"/>
  <c r="CA159" i="1"/>
  <c r="AS110" i="1"/>
  <c r="F136" i="1"/>
  <c r="AB110" i="1"/>
  <c r="O119" i="1"/>
  <c r="GO112" i="1"/>
  <c r="CC119" i="1" s="1"/>
  <c r="CA119" i="1"/>
  <c r="DJ58" i="3"/>
  <c r="S69" i="1"/>
  <c r="CP69" i="1" s="1"/>
  <c r="O69" i="1" s="1"/>
  <c r="DJ60" i="3"/>
  <c r="DJ61" i="3"/>
  <c r="DJ62" i="3"/>
  <c r="AH64" i="1"/>
  <c r="U78" i="1"/>
  <c r="DJ26" i="3"/>
  <c r="S66" i="1"/>
  <c r="CP66" i="1" s="1"/>
  <c r="O66" i="1" s="1"/>
  <c r="AE78" i="1"/>
  <c r="AD78" i="1"/>
  <c r="AC78" i="1"/>
  <c r="AI78" i="1"/>
  <c r="DJ31" i="3"/>
  <c r="DJ32" i="3"/>
  <c r="DJ33" i="3"/>
  <c r="DJ34" i="3"/>
  <c r="DJ35" i="3"/>
  <c r="BD22" i="1"/>
  <c r="F251" i="1"/>
  <c r="BD259" i="1"/>
  <c r="BC22" i="1"/>
  <c r="F242" i="1"/>
  <c r="BC259" i="1"/>
  <c r="BB22" i="1"/>
  <c r="F239" i="1"/>
  <c r="BB259" i="1"/>
  <c r="BA22" i="1"/>
  <c r="F246" i="1"/>
  <c r="BA259" i="1"/>
  <c r="AZ22" i="1"/>
  <c r="F237" i="1"/>
  <c r="AZ259" i="1"/>
  <c r="AX22" i="1"/>
  <c r="F233" i="1"/>
  <c r="AX259" i="1"/>
  <c r="AQ22" i="1"/>
  <c r="F236" i="1"/>
  <c r="AQ259" i="1"/>
  <c r="AP22" i="1"/>
  <c r="F235" i="1"/>
  <c r="AP259" i="1"/>
  <c r="AO22" i="1"/>
  <c r="F230" i="1"/>
  <c r="AO259" i="1"/>
  <c r="W22" i="1"/>
  <c r="F250" i="1"/>
  <c r="W259" i="1"/>
  <c r="T22" i="1"/>
  <c r="F247" i="1"/>
  <c r="T259" i="1"/>
  <c r="DJ14" i="3"/>
  <c r="S29" i="1"/>
  <c r="CP29" i="1" s="1"/>
  <c r="O29" i="1" s="1"/>
  <c r="DJ16" i="3"/>
  <c r="DJ17" i="3"/>
  <c r="DJ18" i="3"/>
  <c r="AH26" i="1"/>
  <c r="U32" i="1"/>
  <c r="DJ1" i="3"/>
  <c r="S28" i="1"/>
  <c r="CP28" i="1" s="1"/>
  <c r="O28" i="1" s="1"/>
  <c r="AE32" i="1"/>
  <c r="AD32" i="1"/>
  <c r="AC32" i="1"/>
  <c r="AI32" i="1"/>
  <c r="DJ6" i="3"/>
  <c r="DJ7" i="3"/>
  <c r="DJ8" i="3"/>
  <c r="DJ9" i="3"/>
  <c r="DJ10" i="3"/>
  <c r="AN369" i="6" l="1"/>
  <c r="K369" i="6"/>
  <c r="F222" i="1"/>
  <c r="X191" i="1"/>
  <c r="CA191" i="1"/>
  <c r="AR196" i="1"/>
  <c r="AU196" i="1"/>
  <c r="CD191" i="1"/>
  <c r="G16" i="2"/>
  <c r="G18" i="2" s="1"/>
  <c r="C44" i="6"/>
  <c r="AI26" i="1"/>
  <c r="V32" i="1"/>
  <c r="AC26" i="1"/>
  <c r="P32" i="1"/>
  <c r="CE32" i="1"/>
  <c r="CF32" i="1"/>
  <c r="CH32" i="1"/>
  <c r="AB32" i="1"/>
  <c r="AD26" i="1"/>
  <c r="Q32" i="1"/>
  <c r="AE26" i="1"/>
  <c r="R32" i="1"/>
  <c r="CY28" i="1"/>
  <c r="X28" i="1" s="1"/>
  <c r="AZ79" i="6" s="1"/>
  <c r="CZ28" i="1"/>
  <c r="Y28" i="1" s="1"/>
  <c r="BA79" i="6" s="1"/>
  <c r="AF32" i="1"/>
  <c r="U26" i="1"/>
  <c r="F54" i="1"/>
  <c r="G141" i="6" s="1"/>
  <c r="U226" i="1"/>
  <c r="CY29" i="1"/>
  <c r="X29" i="1" s="1"/>
  <c r="AZ100" i="6" s="1"/>
  <c r="CZ29" i="1"/>
  <c r="Y29" i="1" s="1"/>
  <c r="BA100" i="6" s="1"/>
  <c r="T18" i="1"/>
  <c r="F280" i="1"/>
  <c r="W18" i="1"/>
  <c r="F283" i="1"/>
  <c r="AO18" i="1"/>
  <c r="F263" i="1"/>
  <c r="AP18" i="1"/>
  <c r="F268" i="1"/>
  <c r="AQ18" i="1"/>
  <c r="F269" i="1"/>
  <c r="AX18" i="1"/>
  <c r="F266" i="1"/>
  <c r="AZ18" i="1"/>
  <c r="F270" i="1"/>
  <c r="BA18" i="1"/>
  <c r="F279" i="1"/>
  <c r="BB18" i="1"/>
  <c r="F272" i="1"/>
  <c r="BC18" i="1"/>
  <c r="F275" i="1"/>
  <c r="BD18" i="1"/>
  <c r="F284" i="1"/>
  <c r="AI64" i="1"/>
  <c r="V78" i="1"/>
  <c r="AC64" i="1"/>
  <c r="P78" i="1"/>
  <c r="CE78" i="1"/>
  <c r="CF78" i="1"/>
  <c r="CH78" i="1"/>
  <c r="AB78" i="1"/>
  <c r="AD64" i="1"/>
  <c r="Q78" i="1"/>
  <c r="AE64" i="1"/>
  <c r="R78" i="1"/>
  <c r="CY66" i="1"/>
  <c r="X66" i="1" s="1"/>
  <c r="AZ169" i="6" s="1"/>
  <c r="CZ66" i="1"/>
  <c r="Y66" i="1" s="1"/>
  <c r="BA169" i="6" s="1"/>
  <c r="AF78" i="1"/>
  <c r="U64" i="1"/>
  <c r="F100" i="1"/>
  <c r="G257" i="6" s="1"/>
  <c r="CY69" i="1"/>
  <c r="X69" i="1" s="1"/>
  <c r="AZ189" i="6" s="1"/>
  <c r="L187" i="6" s="1"/>
  <c r="CZ69" i="1"/>
  <c r="Y69" i="1" s="1"/>
  <c r="BA189" i="6" s="1"/>
  <c r="L188" i="6" s="1"/>
  <c r="CA110" i="1"/>
  <c r="AR119" i="1"/>
  <c r="CC110" i="1"/>
  <c r="AT119" i="1"/>
  <c r="O110" i="1"/>
  <c r="F121" i="1"/>
  <c r="CA151" i="1"/>
  <c r="AR159" i="1"/>
  <c r="CB151" i="1"/>
  <c r="AS159" i="1"/>
  <c r="O151" i="1"/>
  <c r="F161" i="1"/>
  <c r="AR191" i="1" l="1"/>
  <c r="F224" i="1"/>
  <c r="BR369" i="6"/>
  <c r="I369" i="6"/>
  <c r="BU369" i="6"/>
  <c r="BV369" i="6" s="1"/>
  <c r="AU226" i="1"/>
  <c r="AU191" i="1"/>
  <c r="F215" i="1"/>
  <c r="AN189" i="6"/>
  <c r="K189" i="6"/>
  <c r="I189" i="6" s="1"/>
  <c r="L246" i="6"/>
  <c r="L168" i="6"/>
  <c r="L245" i="6"/>
  <c r="L253" i="6" s="1"/>
  <c r="L167" i="6"/>
  <c r="L451" i="6"/>
  <c r="L99" i="6"/>
  <c r="L450" i="6"/>
  <c r="L433" i="6" s="1"/>
  <c r="L98" i="6"/>
  <c r="L500" i="6"/>
  <c r="L431" i="6"/>
  <c r="L130" i="6"/>
  <c r="L78" i="6"/>
  <c r="L499" i="6"/>
  <c r="L430" i="6"/>
  <c r="L413" i="6" s="1"/>
  <c r="L482" i="6" s="1"/>
  <c r="L129" i="6"/>
  <c r="L137" i="6" s="1"/>
  <c r="L77" i="6"/>
  <c r="AS151" i="1"/>
  <c r="F176" i="1"/>
  <c r="AR151" i="1"/>
  <c r="F187" i="1"/>
  <c r="AT110" i="1"/>
  <c r="F137" i="1"/>
  <c r="AR110" i="1"/>
  <c r="F147" i="1"/>
  <c r="GM69" i="1"/>
  <c r="GO69" i="1" s="1"/>
  <c r="CC78" i="1" s="1"/>
  <c r="AF64" i="1"/>
  <c r="S78" i="1"/>
  <c r="AL78" i="1"/>
  <c r="AK78" i="1"/>
  <c r="GM66" i="1"/>
  <c r="R64" i="1"/>
  <c r="F92" i="1"/>
  <c r="Q64" i="1"/>
  <c r="F90" i="1"/>
  <c r="AB64" i="1"/>
  <c r="O78" i="1"/>
  <c r="CH64" i="1"/>
  <c r="AY78" i="1"/>
  <c r="CF64" i="1"/>
  <c r="AW78" i="1"/>
  <c r="CE64" i="1"/>
  <c r="AV78" i="1"/>
  <c r="P64" i="1"/>
  <c r="F81" i="1"/>
  <c r="V64" i="1"/>
  <c r="F101" i="1"/>
  <c r="G258" i="6" s="1"/>
  <c r="GM29" i="1"/>
  <c r="GO29" i="1" s="1"/>
  <c r="CC32" i="1" s="1"/>
  <c r="U22" i="1"/>
  <c r="F248" i="1"/>
  <c r="U259" i="1"/>
  <c r="AF26" i="1"/>
  <c r="S32" i="1"/>
  <c r="AL32" i="1"/>
  <c r="AK32" i="1"/>
  <c r="GM28" i="1"/>
  <c r="R26" i="1"/>
  <c r="F46" i="1"/>
  <c r="R226" i="1"/>
  <c r="Q26" i="1"/>
  <c r="F44" i="1"/>
  <c r="Q226" i="1"/>
  <c r="AB26" i="1"/>
  <c r="O32" i="1"/>
  <c r="CH26" i="1"/>
  <c r="AY32" i="1"/>
  <c r="CF26" i="1"/>
  <c r="AW32" i="1"/>
  <c r="CE26" i="1"/>
  <c r="AV32" i="1"/>
  <c r="P26" i="1"/>
  <c r="F35" i="1"/>
  <c r="P226" i="1"/>
  <c r="V26" i="1"/>
  <c r="F55" i="1"/>
  <c r="G142" i="6" s="1"/>
  <c r="V226" i="1"/>
  <c r="AU259" i="1" l="1"/>
  <c r="F245" i="1"/>
  <c r="AU22" i="1"/>
  <c r="L512" i="6"/>
  <c r="L515" i="6" s="1"/>
  <c r="L516" i="6" s="1"/>
  <c r="L517" i="6" s="1"/>
  <c r="C39" i="6" s="1"/>
  <c r="K42" i="6"/>
  <c r="G509" i="6"/>
  <c r="AN79" i="6"/>
  <c r="K79" i="6"/>
  <c r="I79" i="6" s="1"/>
  <c r="AN100" i="6"/>
  <c r="K100" i="6"/>
  <c r="I100" i="6" s="1"/>
  <c r="AN169" i="6"/>
  <c r="K169" i="6"/>
  <c r="I169" i="6" s="1"/>
  <c r="V22" i="1"/>
  <c r="F249" i="1"/>
  <c r="V259" i="1"/>
  <c r="P22" i="1"/>
  <c r="F229" i="1"/>
  <c r="P259" i="1"/>
  <c r="AV26" i="1"/>
  <c r="F37" i="1"/>
  <c r="AV226" i="1"/>
  <c r="AW26" i="1"/>
  <c r="F38" i="1"/>
  <c r="AW226" i="1"/>
  <c r="AY26" i="1"/>
  <c r="F40" i="1"/>
  <c r="AY226" i="1"/>
  <c r="O26" i="1"/>
  <c r="F34" i="1"/>
  <c r="O226" i="1"/>
  <c r="Q22" i="1"/>
  <c r="F238" i="1"/>
  <c r="Q259" i="1"/>
  <c r="R22" i="1"/>
  <c r="F240" i="1"/>
  <c r="R259" i="1"/>
  <c r="GN28" i="1"/>
  <c r="CB32" i="1" s="1"/>
  <c r="CA32" i="1"/>
  <c r="AK26" i="1"/>
  <c r="X32" i="1"/>
  <c r="AL26" i="1"/>
  <c r="Y32" i="1"/>
  <c r="S26" i="1"/>
  <c r="F47" i="1"/>
  <c r="S226" i="1"/>
  <c r="U18" i="1"/>
  <c r="F281" i="1"/>
  <c r="CC26" i="1"/>
  <c r="AT32" i="1"/>
  <c r="AV64" i="1"/>
  <c r="F83" i="1"/>
  <c r="AW64" i="1"/>
  <c r="F84" i="1"/>
  <c r="AY64" i="1"/>
  <c r="F86" i="1"/>
  <c r="O64" i="1"/>
  <c r="F80" i="1"/>
  <c r="GN66" i="1"/>
  <c r="CB78" i="1" s="1"/>
  <c r="CA78" i="1"/>
  <c r="AK64" i="1"/>
  <c r="X78" i="1"/>
  <c r="AL64" i="1"/>
  <c r="Y78" i="1"/>
  <c r="S64" i="1"/>
  <c r="F93" i="1"/>
  <c r="CC64" i="1"/>
  <c r="AT78" i="1"/>
  <c r="C45" i="6" l="1"/>
  <c r="H16" i="2"/>
  <c r="H18" i="2" s="1"/>
  <c r="F278" i="1"/>
  <c r="AU18" i="1"/>
  <c r="K43" i="6"/>
  <c r="G510" i="6"/>
  <c r="AT64" i="1"/>
  <c r="F96" i="1"/>
  <c r="Y64" i="1"/>
  <c r="F105" i="1"/>
  <c r="X64" i="1"/>
  <c r="F104" i="1"/>
  <c r="CA64" i="1"/>
  <c r="AR78" i="1"/>
  <c r="CB64" i="1"/>
  <c r="AS78" i="1"/>
  <c r="AT26" i="1"/>
  <c r="F50" i="1"/>
  <c r="AT226" i="1"/>
  <c r="S22" i="1"/>
  <c r="F241" i="1"/>
  <c r="J16" i="2" s="1"/>
  <c r="J18" i="2" s="1"/>
  <c r="S259" i="1"/>
  <c r="Y26" i="1"/>
  <c r="F59" i="1"/>
  <c r="Y226" i="1"/>
  <c r="X26" i="1"/>
  <c r="F58" i="1"/>
  <c r="X226" i="1"/>
  <c r="CA26" i="1"/>
  <c r="AR32" i="1"/>
  <c r="CB26" i="1"/>
  <c r="AS32" i="1"/>
  <c r="R18" i="1"/>
  <c r="F273" i="1"/>
  <c r="Q18" i="1"/>
  <c r="F271" i="1"/>
  <c r="O22" i="1"/>
  <c r="F228" i="1"/>
  <c r="O259" i="1"/>
  <c r="AY22" i="1"/>
  <c r="F234" i="1"/>
  <c r="AY259" i="1"/>
  <c r="AW22" i="1"/>
  <c r="F232" i="1"/>
  <c r="AW259" i="1"/>
  <c r="AV22" i="1"/>
  <c r="F231" i="1"/>
  <c r="AV259" i="1"/>
  <c r="P18" i="1"/>
  <c r="F262" i="1"/>
  <c r="V18" i="1"/>
  <c r="F282" i="1"/>
  <c r="AV18" i="1" l="1"/>
  <c r="F264" i="1"/>
  <c r="AW18" i="1"/>
  <c r="F265" i="1"/>
  <c r="AY18" i="1"/>
  <c r="F267" i="1"/>
  <c r="O18" i="1"/>
  <c r="F261" i="1"/>
  <c r="AS26" i="1"/>
  <c r="F49" i="1"/>
  <c r="AS226" i="1"/>
  <c r="AR26" i="1"/>
  <c r="F60" i="1"/>
  <c r="AR226" i="1"/>
  <c r="X22" i="1"/>
  <c r="F252" i="1"/>
  <c r="X259" i="1"/>
  <c r="Y22" i="1"/>
  <c r="F253" i="1"/>
  <c r="Y259" i="1"/>
  <c r="S18" i="1"/>
  <c r="F274" i="1"/>
  <c r="AT22" i="1"/>
  <c r="F244" i="1"/>
  <c r="AT259" i="1"/>
  <c r="AS64" i="1"/>
  <c r="F95" i="1"/>
  <c r="AR64" i="1"/>
  <c r="F106" i="1"/>
  <c r="F16" i="2" l="1"/>
  <c r="F18" i="2" s="1"/>
  <c r="C43" i="6"/>
  <c r="AT18" i="1"/>
  <c r="F277" i="1"/>
  <c r="Y18" i="1"/>
  <c r="F286" i="1"/>
  <c r="X18" i="1"/>
  <c r="F285" i="1"/>
  <c r="AR22" i="1"/>
  <c r="F254" i="1"/>
  <c r="AR259" i="1"/>
  <c r="F255" i="1"/>
  <c r="F256" i="1" s="1"/>
  <c r="F257" i="1" s="1"/>
  <c r="AS22" i="1"/>
  <c r="F243" i="1"/>
  <c r="AS259" i="1"/>
  <c r="E16" i="2" l="1"/>
  <c r="C42" i="6"/>
  <c r="AS18" i="1"/>
  <c r="F276" i="1"/>
  <c r="I16" i="2"/>
  <c r="I18" i="2" s="1"/>
  <c r="E18" i="2"/>
  <c r="AR18" i="1"/>
  <c r="F287" i="1"/>
</calcChain>
</file>

<file path=xl/sharedStrings.xml><?xml version="1.0" encoding="utf-8"?>
<sst xmlns="http://schemas.openxmlformats.org/spreadsheetml/2006/main" count="5373" uniqueCount="585">
  <si>
    <t>Smeta.RU  (495) 974-1589</t>
  </si>
  <si>
    <t>_PS_</t>
  </si>
  <si>
    <t>Smeta.RU</t>
  </si>
  <si>
    <t/>
  </si>
  <si>
    <t>Новый объект</t>
  </si>
  <si>
    <t>ВЛ-0,4кВ июнь 24</t>
  </si>
  <si>
    <t>Мишкина З.И.</t>
  </si>
  <si>
    <t>Сукочев А.А.</t>
  </si>
  <si>
    <t>Сметные нормы списания</t>
  </si>
  <si>
    <t>Коды ценников</t>
  </si>
  <si>
    <t>ФСНБ-2022_И10</t>
  </si>
  <si>
    <t>Версия 1.9.0 для ФСНБ-2022 И10</t>
  </si>
  <si>
    <t>ФСНБ-2022 - Изменения И10</t>
  </si>
  <si>
    <t>Поправки для ФСНБ-2022 от 17.05.2024 г И10 (55/пр) Строительство</t>
  </si>
  <si>
    <t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t>
  </si>
  <si>
    <t>ГСН</t>
  </si>
  <si>
    <t>Новая локальная смета</t>
  </si>
  <si>
    <t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t>
  </si>
  <si>
    <t>Новый раздел</t>
  </si>
  <si>
    <t>Демонтажные работы</t>
  </si>
  <si>
    <t>1</t>
  </si>
  <si>
    <t>33-04-017-01</t>
  </si>
  <si>
    <t>Демонтаж провода СИП-2 напряжением от 0,4 кВ до 1 кВ на опорах, при 32 опорах на км линии: с использованием автогидроподъемника</t>
  </si>
  <si>
    <t>1000 м</t>
  </si>
  <si>
    <t>ГЭСН-2022 доп.9, 33-04-017-01, приказ Минстроя России от 16.02.2024 г. № 102/пр</t>
  </si>
  <si>
    <t>Поправка: МР 507/пр Табл.3, п.4  Наименование: Демонтаж: Оборудование, не пригодное для дальнейшего использования, (предназначено в лом) без разборки и резки</t>
  </si>
  <si>
    <t>)*0</t>
  </si>
  <si>
    <t>)*0,3</t>
  </si>
  <si>
    <t>1000 М</t>
  </si>
  <si>
    <t>Общестроительные работы</t>
  </si>
  <si>
    <t>Линии электропередачи</t>
  </si>
  <si>
    <t>ФЕР-33</t>
  </si>
  <si>
    <t>Поправка: МР 507/пр Табл.3, п.4</t>
  </si>
  <si>
    <t>Пр/812-027.0-1</t>
  </si>
  <si>
    <t>Пр/774-027.0</t>
  </si>
  <si>
    <t>2</t>
  </si>
  <si>
    <t>м08-01-082-01</t>
  </si>
  <si>
    <t>Демонтаж: Зажим наборный без кожуха</t>
  </si>
  <si>
    <t>100 ШТ</t>
  </si>
  <si>
    <t>ГЭСНм-2022, м08-01-082-01, приказ Минстроя России от 18.05.2022 г. № 378/пр</t>
  </si>
  <si>
    <t>Поправка: 571/пр_2022_т.3_п.4  Наименование: Демонтаж: Оборудование, не пригодное для дальнейшего использования, (предназначено в лом) без разборки и резки</t>
  </si>
  <si>
    <t>Монтажные работы</t>
  </si>
  <si>
    <t>Электротехнические установки: на других объектах</t>
  </si>
  <si>
    <t>мФЕР-08</t>
  </si>
  <si>
    <t>Поправка: 571/пр_2022_т.3_п.4</t>
  </si>
  <si>
    <t>Пр/812-049.3-1</t>
  </si>
  <si>
    <t>Пр/774-049.3</t>
  </si>
  <si>
    <t>3</t>
  </si>
  <si>
    <t>33-04-041-03</t>
  </si>
  <si>
    <t>Снятие ответвлений ВЛ 0,38 кВ к зданиям при количестве проводов в ответвлении: 4</t>
  </si>
  <si>
    <t>ответвление</t>
  </si>
  <si>
    <t>ГЭСН-2022, 33-04-041-03, приказ Минстроя России от 18.05.2022 г. № 378/пр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</si>
  <si>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</si>
  <si>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</si>
  <si>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</si>
  <si>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</si>
  <si>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</si>
  <si>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</si>
  <si>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</si>
  <si>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</si>
  <si>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</si>
  <si>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</si>
  <si>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</si>
  <si>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</si>
  <si>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</si>
  <si>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</si>
  <si>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</si>
  <si>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</si>
  <si>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</si>
  <si>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</si>
  <si>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</si>
  <si>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</si>
  <si>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</si>
  <si>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</si>
  <si>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</si>
  <si>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</si>
  <si>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</si>
  <si>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</si>
  <si>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</si>
  <si>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</si>
  <si>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</si>
  <si>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</si>
  <si>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</si>
  <si>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</si>
  <si>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</si>
  <si>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</si>
  <si>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</si>
  <si>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</si>
  <si>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</si>
  <si>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</si>
  <si>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</si>
  <si>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</si>
  <si>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</si>
  <si>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</si>
  <si>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</si>
  <si>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</si>
  <si>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</si>
  <si>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</si>
  <si>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</si>
  <si>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</si>
  <si>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</si>
  <si>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</si>
  <si>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</si>
  <si>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</si>
  <si>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</si>
  <si>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</si>
  <si>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4</t>
  </si>
  <si>
    <t>Подвеска провода СИП-2 напряжением от 0,4 кВ до 1 кВ на опорах, при 32 опорах на км линии: с использованием автогидроподъемника</t>
  </si>
  <si>
    <t>5</t>
  </si>
  <si>
    <t>м08-02-409-03</t>
  </si>
  <si>
    <t>Труба винипластовая по установленным конструкциям, по стенам и колоннам с креплением скобами, диаметр: до 63 мм</t>
  </si>
  <si>
    <t>100 м</t>
  </si>
  <si>
    <t>ГЭСНм-2022, м08-02-409-03, приказ Минстроя России от 18.05.2022 г. № 378/пр</t>
  </si>
  <si>
    <t>6</t>
  </si>
  <si>
    <t>м08-02-412-05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</si>
  <si>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</t>
  </si>
  <si>
    <t>ГЭСНм-2022, м08-02-412-05, приказ Минстроя России от 18.05.2022 г. № 378/пр</t>
  </si>
  <si>
    <t>7</t>
  </si>
  <si>
    <t>Зажим наборный без кожуха</t>
  </si>
  <si>
    <t>8</t>
  </si>
  <si>
    <t>33-04-013-03</t>
  </si>
  <si>
    <t>Устройство ответвлений от ВЛ 0,38 кВ к зданиям: с помощью механизмов при количестве проводов в ответвлении 4</t>
  </si>
  <si>
    <t>ГЭСН-2022 доп.10, 33-04-013-03, приказ Минстроя России от 13.05.2024 г. № 323/пр</t>
  </si>
  <si>
    <t>9</t>
  </si>
  <si>
    <t>м08-02-374-03</t>
  </si>
  <si>
    <t>Устройство ввода в здание, количество проводов в линии: 4</t>
  </si>
  <si>
    <t>ШТ</t>
  </si>
  <si>
    <t>ГЭСНм-2022, м08-02-374-03, приказ Минстроя России от 18.05.2022 г. № 378/пр</t>
  </si>
  <si>
    <t>10</t>
  </si>
  <si>
    <t>м08-03-494-03</t>
  </si>
  <si>
    <t>Кабельные наконечники</t>
  </si>
  <si>
    <t>ГЭСНм-2022 доп.6, м08-03-494-03, приказ Минстроя России от 11.05.2023 г. № 335/пр</t>
  </si>
  <si>
    <t>11</t>
  </si>
  <si>
    <t>м08-02-144-01</t>
  </si>
  <si>
    <t>Присоединение к зажимам жил проводов или кабелей сечением: до 2,5 мм2 (подключение светильников)</t>
  </si>
  <si>
    <t>ГЭСНм-2022, м08-02-144-01, приказ Минстроя России от 18.05.2022 г. № 378/пр</t>
  </si>
  <si>
    <t>12</t>
  </si>
  <si>
    <t>м08-02-471-01</t>
  </si>
  <si>
    <t>Заземлитель вертикальный из угловой стали размером: 50х50х5 мм</t>
  </si>
  <si>
    <t>10 ШТ</t>
  </si>
  <si>
    <t>ГЭСНм-2022 доп.8, м08-02-471-01, приказ Минстроя России от 14.11.2023 г. № 817/пр</t>
  </si>
  <si>
    <t>13</t>
  </si>
  <si>
    <t>м08-02-472-08</t>
  </si>
  <si>
    <t>Проводник заземляющий открыто по строительным основаниям: из круглой стали диаметром 6 мм</t>
  </si>
  <si>
    <t>ГЭСНм-2022 доп.8, м08-02-472-08, приказ Минстроя России от 14.11.2023 г. № 817/пр</t>
  </si>
  <si>
    <t>14</t>
  </si>
  <si>
    <t>м08-02-472-09</t>
  </si>
  <si>
    <t>Проводник заземляющий открыто по строительным основаниям: из круглой стали диаметром 12 мм</t>
  </si>
  <si>
    <t>ГЭСНм-2022 доп.8, м08-02-472-09, приказ Минстроя России от 14.11.2023 г. № 817/пр</t>
  </si>
  <si>
    <t>Материалы не учтенные ценником</t>
  </si>
  <si>
    <t>15</t>
  </si>
  <si>
    <t>21.2.01.01-0034</t>
  </si>
  <si>
    <t>Провод самонесущий изолированный СИП-2 3х70+1х70-0,6/1</t>
  </si>
  <si>
    <t>ФСБЦ-2022 доп.4, 21.2.01.01-0034, приказ Минстроя России от 27.12.2022 г. № 1133/пр</t>
  </si>
  <si>
    <t>Материалы монтажные</t>
  </si>
  <si>
    <t>Материалы и конструкции ( монтажные )  по ценникам и каталогам</t>
  </si>
  <si>
    <t>ФССЦм</t>
  </si>
  <si>
    <t>16</t>
  </si>
  <si>
    <t>20.1.01.01-0011</t>
  </si>
  <si>
    <t>Зажимы анкерные РА 2000</t>
  </si>
  <si>
    <t>ФСБЦ-2022, 20.1.01.01-0011, приказ Минстроя России от 18.05.2022 г. № 378/пр</t>
  </si>
  <si>
    <t>17</t>
  </si>
  <si>
    <t>20.1.01.08-0019</t>
  </si>
  <si>
    <t>Зажимы ответвительные Р645</t>
  </si>
  <si>
    <t>ФСБЦ-2022 доп.9, 20.1.01.08-0019, приказ Минстроя России от 16.02.2024 г. № 102/пр</t>
  </si>
  <si>
    <t>18</t>
  </si>
  <si>
    <t>20.5.04.05-0007</t>
  </si>
  <si>
    <t>Зажимы ответвительные Р481</t>
  </si>
  <si>
    <t>ФСБЦ-2022, 20.5.04.05-0007, приказ Минстроя России от 18.05.2022 г. № 378/пр</t>
  </si>
  <si>
    <t>19</t>
  </si>
  <si>
    <t>20.5.04.05-0009</t>
  </si>
  <si>
    <t>Зажимы ответвительные ОА-70-2</t>
  </si>
  <si>
    <t>ФСБЦ-2022, 20.5.04.05-0009, приказ Минстроя России от 18.05.2022 г. № 378/пр</t>
  </si>
  <si>
    <t>20</t>
  </si>
  <si>
    <t>14.2.02.03-0019</t>
  </si>
  <si>
    <t>Краска аэрозоль черная</t>
  </si>
  <si>
    <t>кг</t>
  </si>
  <si>
    <t>ФСБЦ-2022, 14.2.02.03-0019,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</si>
  <si>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</si>
  <si>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</si>
  <si>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</si>
  <si>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Прочие работы</t>
  </si>
  <si>
    <t>21</t>
  </si>
  <si>
    <t>68-01-005-06</t>
  </si>
  <si>
    <t>Вырезка сухих ветвей деревьев лиственных пород диаметром: более 350 мм при количестве срезанных ветвей более 15</t>
  </si>
  <si>
    <t>ГЭСНр-2022, 68-01-005-06, приказ Минстроя России от 18.05.2022 г. № 378/пр</t>
  </si>
  <si>
    <t>Ремонтно-строительные работы</t>
  </si>
  <si>
    <t>Благоустройство</t>
  </si>
  <si>
    <t>рФЕР-68</t>
  </si>
  <si>
    <t>Пр/812-102.0-1</t>
  </si>
  <si>
    <t>Пр/774-102.0</t>
  </si>
  <si>
    <t>22</t>
  </si>
  <si>
    <t>91.12.02-011</t>
  </si>
  <si>
    <t>Измельчитель ветвей деревьев</t>
  </si>
  <si>
    <t>маш.-ч</t>
  </si>
  <si>
    <t>ФСЭМ-2022, 91.12.02-011, приказ Минстроя России от 18.05.2022 г. № 378/пр</t>
  </si>
  <si>
    <t>Машины и механизмы</t>
  </si>
  <si>
    <t>Эксплуатация машин и механизмов ( ценники на ЭММ )</t>
  </si>
  <si>
    <t>23</t>
  </si>
  <si>
    <t>09-1</t>
  </si>
  <si>
    <t>Погрузка в автотранспортное средство: дрова</t>
  </si>
  <si>
    <t>1т груза</t>
  </si>
  <si>
    <t>Погрузочно-разгрузочные работы</t>
  </si>
  <si>
    <t>812/пр и 774/пр п.106</t>
  </si>
  <si>
    <t>Пр/812-106.0-1</t>
  </si>
  <si>
    <t>Пр/774-106.0</t>
  </si>
  <si>
    <t>24</t>
  </si>
  <si>
    <t>09-2</t>
  </si>
  <si>
    <t>Разгрузка с автотранспортного средства: дрова</t>
  </si>
  <si>
    <t>25</t>
  </si>
  <si>
    <t>01-20-1-01-0025</t>
  </si>
  <si>
    <t>Перевозка порубочных отходов, на расстояние 25 км</t>
  </si>
  <si>
    <t>Автомобили бортовые</t>
  </si>
  <si>
    <t>Перевозка строительных грузов автомобильным транспортом</t>
  </si>
  <si>
    <t>Перевозка строительных грузов автомобильным транспортом, тракторами и прицепами</t>
  </si>
  <si>
    <t>812/пр и 774/пр п.107</t>
  </si>
  <si>
    <t>Пр/812-107.0-1</t>
  </si>
  <si>
    <t>Пр/774-107.0</t>
  </si>
  <si>
    <t>Пусконаладочные работы</t>
  </si>
  <si>
    <t>26</t>
  </si>
  <si>
    <t>п01-11-024-01</t>
  </si>
  <si>
    <t>Фазировка электрической линии или трансформатора с сетью напряжением: до 1 кВ</t>
  </si>
  <si>
    <t>ГЭСНп-2022, п01-11-024-01,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</si>
  <si>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</si>
  <si>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</si>
  <si>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</si>
  <si>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</si>
  <si>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27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</si>
  <si>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</si>
  <si>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</si>
  <si>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</si>
  <si>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</si>
  <si>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</si>
  <si>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</si>
  <si>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</si>
  <si>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</si>
  <si>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</si>
  <si>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</si>
  <si>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</si>
  <si>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</si>
  <si>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</si>
  <si>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</si>
  <si>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</si>
  <si>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</si>
  <si>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</si>
  <si>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</si>
  <si>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</si>
  <si>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</si>
  <si>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</si>
  <si>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</si>
  <si>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</si>
  <si>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</si>
  <si>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</si>
  <si>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</si>
  <si>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</si>
  <si>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</si>
  <si>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</si>
  <si>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</si>
  <si>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</si>
  <si>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</si>
  <si>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</si>
  <si>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</si>
  <si>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</si>
  <si>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</si>
  <si>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</si>
  <si>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</si>
  <si>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</si>
  <si>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</si>
  <si>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</si>
  <si>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</si>
  <si>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</si>
  <si>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</si>
  <si>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</si>
  <si>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</si>
  <si>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</si>
  <si>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</si>
  <si>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</si>
  <si>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</si>
  <si>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</si>
  <si>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</si>
  <si>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</si>
  <si>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</si>
  <si>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</si>
  <si>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</si>
  <si>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</si>
  <si>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</si>
  <si>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</si>
  <si>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</si>
  <si>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</si>
  <si>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</si>
  <si>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</si>
  <si>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</si>
  <si>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</si>
  <si>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</si>
  <si>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</si>
  <si>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</si>
  <si>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</si>
  <si>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</si>
  <si>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</si>
  <si>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</si>
  <si>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</si>
  <si>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</si>
  <si>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</si>
  <si>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</si>
  <si>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</si>
  <si>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2 квартал 2024 г</t>
  </si>
  <si>
    <t>Сборник индексов</t>
  </si>
  <si>
    <t>Московская область к ФСНБ-2022 ФГИС ЦС</t>
  </si>
  <si>
    <t>Письмо Минстроя России   «О расчете индексов изменения сметной стоимости строительства по группам однородных строительных ресурсов на II квартал 2024 года, 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</si>
  <si>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</si>
  <si>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23.05.2024 г. № 29044-ИФ/09</t>
  </si>
  <si>
    <t>Данные в ФГИС ЦС отсутсвуют</t>
  </si>
  <si>
    <t>_OBSM_</t>
  </si>
  <si>
    <t>2-100-02</t>
  </si>
  <si>
    <t>Рабочий 2 разряда</t>
  </si>
  <si>
    <t>чел.-ч</t>
  </si>
  <si>
    <t>2-100-03</t>
  </si>
  <si>
    <t>Рабочий 3 разряда</t>
  </si>
  <si>
    <t>2-100-04</t>
  </si>
  <si>
    <t>Рабочий 4 разряда</t>
  </si>
  <si>
    <t>2-100-05</t>
  </si>
  <si>
    <t>Рабочий 5 разряда</t>
  </si>
  <si>
    <t>4-100-00</t>
  </si>
  <si>
    <t>Затраты труда машинистов</t>
  </si>
  <si>
    <t>чел.-ч.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</si>
  <si>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</si>
  <si>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</si>
  <si>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</si>
  <si>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</si>
  <si>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91.06.03-055</t>
  </si>
  <si>
    <t>ФСЭМ-2022, 91.06.03-055, приказ Минстроя России от 18.05.2022 г. № 378/пр</t>
  </si>
  <si>
    <t>Лебедки электрические тяговым усилием 19,62 кН (2 т)</t>
  </si>
  <si>
    <t>91.06.06-011</t>
  </si>
  <si>
    <t>ФСЭМ-2022, 91.06.06-011, приказ Минстроя России от 18.05.2022 г. № 378/пр</t>
  </si>
  <si>
    <t>Автогидроподъемники, высота подъема 12 м</t>
  </si>
  <si>
    <t>4-100-040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</si>
  <si>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</si>
  <si>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</si>
  <si>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</si>
  <si>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91.17.04-544</t>
  </si>
  <si>
    <t>ФСЭМ-2022, 91.17.04-544, приказ Минстроя России от 18.05.2022 г. № 378/пр</t>
  </si>
  <si>
    <t>Генераторы бензиновые портативные, мощность до 6 кВт</t>
  </si>
  <si>
    <t>20.1.01.01</t>
  </si>
  <si>
    <t>Комплект линейной арматуры для крепления СИП-2 на опоре ВЛИ</t>
  </si>
  <si>
    <t>20.1.01.11</t>
  </si>
  <si>
    <t>Комплект линейной арматуры для устройства заземлений на опорах ВЛИ</t>
  </si>
  <si>
    <t>21.2.01.01</t>
  </si>
  <si>
    <t>Провода самонесущие изолированные для ВЛИ</t>
  </si>
  <si>
    <t>1-100-40</t>
  </si>
  <si>
    <t>Затраты труда рабочих (Средний разряд - 4)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</si>
  <si>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</si>
  <si>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</si>
  <si>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</si>
  <si>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</si>
  <si>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</si>
  <si>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</si>
  <si>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т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</si>
  <si>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</si>
  <si>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</si>
  <si>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</si>
  <si>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20.5.04.03-0002</t>
  </si>
  <si>
    <t>ФСБЦ-2022, 20.5.04.03-0002, приказ Минстроя России от 18.05.2022 г. № 378/пр</t>
  </si>
  <si>
    <t>Зажимы наборные проходные ЗН24-4П25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</si>
  <si>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</si>
  <si>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</si>
  <si>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</si>
  <si>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1-100-25</t>
  </si>
  <si>
    <t>Затраты труда рабочих (Средний разряд - 2,5)</t>
  </si>
  <si>
    <t>1-100-38</t>
  </si>
  <si>
    <t>Затраты труда рабочих (Средний разряд - 3,8)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</si>
  <si>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</si>
  <si>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</si>
  <si>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</si>
  <si>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</si>
  <si>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</si>
  <si>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</si>
  <si>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</si>
  <si>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14.1.02.01-0002</t>
  </si>
  <si>
    <t>ФСБЦ-2022, 14.1.02.01-0002, приказ Минстроя России от 18.05.2022 г. № 378/пр</t>
  </si>
  <si>
    <t>Клей, марка БМК-5к</t>
  </si>
  <si>
    <t>01.7.06.05-0041</t>
  </si>
  <si>
    <t>ФСБЦ-2022, 01.7.06.05-0041, приказ Минстроя России от 18.05.2022 г. № 378/пр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</si>
  <si>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</si>
  <si>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</si>
  <si>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01.7.07.20-0002</t>
  </si>
  <si>
    <t>ФСБЦ-2022, 01.7.07.20-0002, приказ Минстроя России от 18.05.2022 г. № 378/пр</t>
  </si>
  <si>
    <t>Тальк молотый, сорт I</t>
  </si>
  <si>
    <t>20.2.01.05-0009</t>
  </si>
  <si>
    <t>ФСБЦ-2022, 20.2.01.05-0009, приказ Минстроя России от 18.05.2022 г. № 378/пр</t>
  </si>
  <si>
    <t>Гильзы кабельные медные 70 мм</t>
  </si>
  <si>
    <t>20.2.02.01-0015</t>
  </si>
  <si>
    <t>ФСБЦ-2022 доп.8, 20.2.02.01-0015, приказ Минстроя России от 14.11.2023 г. № 817/пр</t>
  </si>
  <si>
    <t>Втулки, диаметр 54 мм</t>
  </si>
  <si>
    <t>1000 ШТ</t>
  </si>
  <si>
    <t>1-100-35</t>
  </si>
  <si>
    <t>Затраты труда рабочих (Средний разряд - 3,5)</t>
  </si>
  <si>
    <t>01.3.01.06-0038</t>
  </si>
  <si>
    <t>ФСБЦ-2022, 01.3.01.06-0038, приказ Минстроя России от 18.05.2022 г. № 378/пр</t>
  </si>
  <si>
    <t>Смазка защитная электросетевая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</si>
  <si>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</si>
  <si>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</si>
  <si>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</si>
  <si>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07.2.02.05</t>
  </si>
  <si>
    <t>Траверсы стальные</t>
  </si>
  <si>
    <t>07.2.07.13</t>
  </si>
  <si>
    <t>Хомуты стальные</t>
  </si>
  <si>
    <t>21.2.01.02</t>
  </si>
  <si>
    <t>Провода неизолированные для воздушных линий электропередач</t>
  </si>
  <si>
    <t>22.2.01.04</t>
  </si>
  <si>
    <t>Изоляторы линейные штыревые фарфоровые</t>
  </si>
  <si>
    <t>22.2.02.09</t>
  </si>
  <si>
    <t>Крюки</t>
  </si>
  <si>
    <t>1-100-46</t>
  </si>
  <si>
    <t>Затраты труда рабочих (Средний разряд - 4,6)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</si>
  <si>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</si>
  <si>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</si>
  <si>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</si>
  <si>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01.7.06.12-0008</t>
  </si>
  <si>
    <t>ФСБЦ-2022, 01.7.06.12-0008, приказ Минстроя России от 18.05.2022 г. № 378/пр</t>
  </si>
  <si>
    <t>Ленты изоляционные из ПВХ с липким слоем с одной стороны для электромонтажных и ремонтных работ, цвет синий, ширина 15 мм, толщина 0,2 мм</t>
  </si>
  <si>
    <t>14.4.03.03-0002</t>
  </si>
  <si>
    <t>ФСБЦ-2022 доп.4, 14.4.03.03-0002, приказ Минстроя России от 27.12.2022 г. № 1133/пр</t>
  </si>
  <si>
    <t>Лак битумный БТ-123</t>
  </si>
  <si>
    <t>20.2.02.01-0019</t>
  </si>
  <si>
    <t>ФСБЦ-2022, 20.2.02.01-0019, приказ Минстроя России от 18.05.2022 г. № 378/пр</t>
  </si>
  <si>
    <t>Втулки изолирующие, размеры 65х50х18 мм</t>
  </si>
  <si>
    <t>1-100-42</t>
  </si>
  <si>
    <t>Затраты труда рабочих (Средний разряд - 4,2)</t>
  </si>
  <si>
    <t>91.21.19-031</t>
  </si>
  <si>
    <t>ФСЭМ-2022, 91.21.19-031, приказ Минстроя России от 18.05.2022 г. № 378/пр</t>
  </si>
  <si>
    <t>Станки сверлильные</t>
  </si>
  <si>
    <t>01.3.01.02-0002</t>
  </si>
  <si>
    <t>ФСБЦ-2022 доп.8, 01.3.01.02-0002, приказ Минстроя России от 14.11.2023 г. № 817/пр</t>
  </si>
  <si>
    <t>Вазелин технический</t>
  </si>
  <si>
    <t>01.7.02.09-0002</t>
  </si>
  <si>
    <t>ФСБЦ-2022, 01.7.02.09-0002, приказ Минстроя России от 18.05.2022 г. № 378/пр</t>
  </si>
  <si>
    <t>Шпагат бумажный, диаметр 2,5 мм</t>
  </si>
  <si>
    <t>10.1.02.04-0001</t>
  </si>
  <si>
    <t>ФСБЦ-2022 доп.6, 10.1.02.04-0001, приказ Минстроя России от 11.05.2023 г. № 335/пр</t>
  </si>
  <si>
    <t>Прутки круглого сечения из алюминиевых сплавов марок АД0, АД1, АД, АД31, АД33, АД35, АВ, диаметр 5,0 мм</t>
  </si>
  <si>
    <t>14.4.03.17-0101</t>
  </si>
  <si>
    <t>ФСБЦ-2022, 14.4.03.17-0101, приказ Минстроя России от 18.05.2022 г. № 378/пр</t>
  </si>
  <si>
    <t>Лак КФ-965</t>
  </si>
  <si>
    <t>20.5.03.03-0001</t>
  </si>
  <si>
    <t>ФСБЦ-2022, 20.5.03.03-0001, приказ Минстроя России от 18.05.2022 г. № 378/пр</t>
  </si>
  <si>
    <t>Шина электротехническая алюминиевая, марка АД31, ширина 20 мм, толщина 3 мм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</si>
  <si>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</si>
  <si>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</si>
  <si>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</si>
  <si>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</si>
  <si>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</si>
  <si>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</si>
  <si>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1-100-29</t>
  </si>
  <si>
    <t>Затраты труда рабочих (Средний разряд - 2,9)</t>
  </si>
  <si>
    <t>2-100-06</t>
  </si>
  <si>
    <t>Рабочий 6 разряда</t>
  </si>
  <si>
    <t>3-200-03</t>
  </si>
  <si>
    <t>Инженер III категории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</si>
  <si>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</si>
  <si>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</si>
  <si>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</si>
  <si>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</si>
  <si>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</si>
  <si>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</si>
  <si>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</si>
  <si>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</si>
  <si>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</si>
  <si>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</si>
  <si>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</si>
  <si>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</si>
  <si>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</si>
  <si>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</si>
  <si>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</si>
  <si>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</si>
  <si>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</si>
  <si>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</si>
  <si>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</si>
  <si>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</si>
  <si>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</si>
  <si>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</si>
  <si>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</si>
  <si>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</si>
  <si>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</si>
  <si>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</si>
  <si>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</si>
  <si>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</si>
  <si>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</si>
  <si>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</si>
  <si>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</si>
  <si>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</si>
  <si>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</si>
  <si>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</si>
  <si>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</si>
  <si>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</si>
  <si>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</si>
  <si>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</si>
  <si>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</si>
  <si>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</si>
  <si>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</si>
  <si>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июнь 2024 года</t>
  </si>
  <si>
    <t>Раздел: Демонтажные работы</t>
  </si>
  <si>
    <t>ГЭСН 33-04-017-01</t>
  </si>
  <si>
    <r>
      <t>Демонтаж провода СИП-2 напряжением от 0,4 кВ до 1 кВ на опорах, при 32 опорах на км линии: с использованием автогидроподъемника</t>
    </r>
    <r>
      <rPr>
        <i/>
        <sz val="10"/>
        <rFont val="Arial"/>
        <family val="2"/>
        <charset val="204"/>
      </rPr>
      <t xml:space="preserve">
Поправки к: 
М )*0;   
ЭМ )*0,3;   
ЗТ )*0,3;   
ЗТм )*0,3</t>
    </r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</si>
  <si>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</si>
  <si>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</si>
  <si>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</si>
  <si>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</si>
  <si>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</si>
  <si>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</si>
  <si>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</si>
  <si>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</si>
  <si>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Линии электропередачи</t>
  </si>
  <si>
    <t>СП Линии электропередачи</t>
  </si>
  <si>
    <t>Всего по позиции</t>
  </si>
  <si>
    <t>=</t>
  </si>
  <si>
    <t>ГЭСНм 08-01-082-01</t>
  </si>
  <si>
    <r>
      <t>Демонтаж: Зажим наборный без кожуха</t>
    </r>
    <r>
      <rPr>
        <i/>
        <sz val="10"/>
        <rFont val="Arial"/>
        <family val="2"/>
        <charset val="204"/>
      </rPr>
      <t xml:space="preserve">
Поправки к: 
М )*0;   
ЭМ )*0,3;   
ЗТ )*0,3;   
ЗТм )*0,3</t>
    </r>
  </si>
  <si>
    <t>НР Электротехнические установки: на других объектах</t>
  </si>
  <si>
    <t>СП Электротехнические установки: на других объектах</t>
  </si>
  <si>
    <t>ГЭСН 33-04-041-03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</si>
  <si>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</si>
  <si>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</si>
  <si>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</si>
  <si>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</si>
  <si>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</si>
  <si>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</si>
  <si>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</si>
  <si>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</si>
  <si>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</si>
  <si>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</si>
  <si>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</si>
  <si>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</si>
  <si>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</si>
  <si>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</si>
  <si>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</si>
  <si>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</si>
  <si>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</si>
  <si>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</si>
  <si>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</si>
  <si>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</si>
  <si>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</si>
  <si>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</si>
  <si>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</si>
  <si>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</si>
  <si>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</si>
  <si>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</si>
  <si>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Монтажные работы</t>
  </si>
  <si>
    <t>ГЭСН 33-04-013-03</t>
  </si>
  <si>
    <t>ГЭСНм 08-02-374-03</t>
  </si>
  <si>
    <t>Раздел: Материалы не учтенные ценником</t>
  </si>
  <si>
    <t>Раздел: Прочие работы</t>
  </si>
  <si>
    <t>ГЭСНр 68-01-005-06</t>
  </si>
  <si>
    <t>НР Благоустройство</t>
  </si>
  <si>
    <t>СП Благоустройство</t>
  </si>
  <si>
    <t>Раздел: Пусконаладочные работы</t>
  </si>
  <si>
    <t>ГЭСНп 01-11-024-01</t>
  </si>
  <si>
    <t>НР Пусконаладочные работы</t>
  </si>
  <si>
    <t>СП Пусконаладочные работы</t>
  </si>
  <si>
    <t>ГЭСНп 01-11-028-01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</si>
  <si>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</si>
  <si>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</si>
  <si>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</si>
  <si>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</si>
  <si>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</si>
  <si>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</si>
  <si>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</si>
  <si>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</si>
  <si>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</si>
  <si>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</si>
  <si>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</si>
  <si>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</si>
  <si>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</si>
  <si>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</si>
  <si>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</si>
  <si>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</si>
  <si>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</si>
  <si>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</si>
  <si>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</si>
  <si>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</si>
  <si>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</si>
  <si>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</si>
  <si>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</si>
  <si>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</si>
  <si>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___________________2024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</si>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</sst>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2" fillId="0" borderId="0" xfId="0" quotePrefix="1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 vertical="top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166" fontId="22" fillId="0" borderId="0" xfId="0" applyNumberFormat="1" applyFont="1" applyAlignment="1">
      <alignment horizontal="right" vertical="top"/>
    </xf>
    <xf numFmtId="165" fontId="25" fillId="0" borderId="0" xfId="0" applyNumberFormat="1" applyFont="1" applyAlignment="1">
      <alignment horizontal="right" vertical="top"/>
    </xf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right" vertical="top" wrapText="1"/>
    </xf>
    <xf numFmtId="166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/>
    </xf>
    <xf numFmtId="165" fontId="25" fillId="0" borderId="1" xfId="0" applyNumberFormat="1" applyFont="1" applyBorder="1" applyAlignment="1">
      <alignment horizontal="right" vertical="top"/>
    </xf>
    <xf numFmtId="165" fontId="0" fillId="0" borderId="0" xfId="0" applyNumberFormat="1"/>
    <xf numFmtId="165" fontId="22" fillId="0" borderId="0" xfId="0" applyNumberFormat="1" applyFont="1" applyAlignment="1">
      <alignment horizontal="right"/>
    </xf>
    <xf numFmtId="0" fontId="25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22" fillId="0" borderId="1" xfId="0" applyFont="1" applyBorder="1" applyAlignment="1">
      <alignment horizontal="left" vertical="top" wrapText="1"/>
    </xf>
    <xf numFmtId="165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 wrapText="1"/>
    </xf>
    <xf numFmtId="165" fontId="25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5" fillId="0" borderId="0" xfId="0" applyFont="1" applyAlignment="1">
      <alignment horizontal="right" vertical="top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22" fillId="0" borderId="1" xfId="0" quotePrefix="1" applyFont="1" applyBorder="1" applyAlignment="1">
      <alignment horizontal="left" vertical="top" wrapText="1"/>
    </xf>
    <xf numFmtId="0" fontId="25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right" vertical="top"/>
    </xf>
    <xf numFmtId="0" fontId="22" fillId="0" borderId="0" xfId="0" applyFont="1" applyAlignment="1">
      <alignment horizontal="left" wrapText="1"/>
    </xf>
    <xf numFmtId="165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7" fillId="0" borderId="0" xfId="1" applyFont="1" applyAlignment="1">
      <alignment horizontal="left" wrapText="1"/>
    </xf>
    <xf numFmtId="0" fontId="28" fillId="0" borderId="0" xfId="0" applyFont="1" applyAlignment="1">
      <alignment vertical="top"/>
    </xf>
    <xf numFmtId="165" fontId="27" fillId="0" borderId="0" xfId="0" applyNumberFormat="1" applyFont="1" applyAlignment="1">
      <alignment vertical="top"/>
    </xf>
    <xf numFmtId="0" fontId="27" fillId="0" borderId="0" xfId="1" applyFont="1" applyAlignment="1">
      <alignment wrapText="1"/>
    </xf>
    <xf numFmtId="4" fontId="27" fillId="0" borderId="0" xfId="1" applyNumberFormat="1" applyFont="1" applyAlignment="1">
      <alignment horizontal="left" wrapText="1"/>
    </xf>
    <xf numFmtId="9" fontId="27" fillId="0" borderId="0" xfId="1" applyNumberFormat="1" applyFont="1" applyAlignment="1">
      <alignment horizontal="left" wrapText="1"/>
    </xf>
    <xf numFmtId="167" fontId="27" fillId="0" borderId="0" xfId="0" applyNumberFormat="1" applyFont="1" applyAlignment="1">
      <alignment vertical="top"/>
    </xf>
    <xf numFmtId="165" fontId="27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wrapText="1"/>
    </xf>
    <xf numFmtId="0" fontId="17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  <xf numFmtId="0" fontId="27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165" fontId="25" fillId="0" borderId="0" xfId="0" applyNumberFormat="1" applyFont="1" applyAlignment="1">
      <alignment horizontal="left" vertical="top"/>
    </xf>
    <xf numFmtId="165" fontId="25" fillId="0" borderId="2" xfId="0" applyNumberFormat="1" applyFont="1" applyBorder="1" applyAlignment="1">
      <alignment horizontal="right" vertical="top"/>
    </xf>
    <xf numFmtId="0" fontId="25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5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6" fillId="0" borderId="2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7" fillId="0" borderId="0" xfId="1" applyFont="1" applyAlignment="1">
      <alignment horizontal="left" wrapText="1"/>
    </xf>
  </cellXfs>
  <cellStyles count="3">
    <cellStyle name="Обычный" xfId="0" builtinId="0"/>
    <cellStyle name="Обычный 2 2" xfId="2"/>
    <cellStyle name="Обычный 2 2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525"/>
  <sheetViews>
    <sheetView tabSelected="1" topLeftCell="A478" zoomScaleNormal="100" workbookViewId="0">
      <selection activeCell="L515" sqref="L515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0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90" t="s">
        <v>459</v>
      </c>
      <c r="B2" s="90"/>
      <c r="C2" s="90"/>
      <c r="D2" s="90"/>
      <c r="E2" s="90"/>
      <c r="F2" s="91" t="s">
        <v>496</v>
      </c>
      <c r="G2" s="91"/>
      <c r="H2" s="91"/>
      <c r="I2" s="91"/>
      <c r="J2" s="91"/>
      <c r="K2" s="91"/>
      <c r="L2" s="91"/>
    </row>
    <row r="3" spans="1:93" ht="12.75" customHeight="1" x14ac:dyDescent="0.2">
      <c r="A3" s="13"/>
      <c r="B3" s="13"/>
      <c r="C3" s="13"/>
      <c r="D3" s="13"/>
      <c r="E3" s="13"/>
      <c r="F3" s="14"/>
      <c r="G3" s="14"/>
      <c r="H3" s="14"/>
      <c r="I3" s="14"/>
      <c r="J3" s="14"/>
      <c r="K3" s="14"/>
      <c r="L3" s="14"/>
    </row>
    <row r="4" spans="1:93" ht="25.5" x14ac:dyDescent="0.2">
      <c r="A4" s="90" t="s">
        <v>460</v>
      </c>
      <c r="B4" s="90"/>
      <c r="C4" s="90"/>
      <c r="D4" s="90"/>
      <c r="E4" s="90"/>
      <c r="F4" s="91" t="str">
        <f>IF(Source!CQ12 &lt;&gt; "", Source!CQ12, "")</f>
        <v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v>
      </c>
      <c r="G4" s="91"/>
      <c r="H4" s="91"/>
      <c r="I4" s="91"/>
      <c r="J4" s="91"/>
      <c r="K4" s="91"/>
      <c r="L4" s="91"/>
      <c r="CO4" s="11" t="str">
        <f>IF(Source!CQ12 &lt;&gt; "", Source!CQ12, "")</f>
        <v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v>
      </c>
    </row>
    <row r="5" spans="1:93" ht="12.75" customHeight="1" x14ac:dyDescent="0.2">
      <c r="A5" s="13"/>
      <c r="B5" s="13"/>
      <c r="C5" s="13"/>
      <c r="D5" s="13"/>
      <c r="E5" s="13"/>
      <c r="F5" s="14"/>
      <c r="G5" s="14"/>
      <c r="H5" s="14"/>
      <c r="I5" s="14"/>
      <c r="J5" s="14"/>
      <c r="K5" s="14"/>
      <c r="L5" s="14"/>
    </row>
    <row r="6" spans="1:93" ht="89.25" x14ac:dyDescent="0.2">
      <c r="A6" s="90" t="s">
        <v>461</v>
      </c>
      <c r="B6" s="90"/>
      <c r="C6" s="90"/>
      <c r="D6" s="90"/>
      <c r="E6" s="90"/>
      <c r="F6" s="9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v>
      </c>
      <c r="G6" s="91"/>
      <c r="H6" s="91"/>
      <c r="I6" s="91"/>
      <c r="J6" s="91"/>
      <c r="K6" s="91"/>
      <c r="L6" s="91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v>
      </c>
    </row>
    <row r="7" spans="1:93" ht="12.75" customHeight="1" x14ac:dyDescent="0.2">
      <c r="A7" s="13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90" t="s">
        <v>462</v>
      </c>
      <c r="B8" s="90"/>
      <c r="C8" s="90"/>
      <c r="D8" s="90"/>
      <c r="E8" s="90"/>
      <c r="F8" s="91" t="s">
        <v>310</v>
      </c>
      <c r="G8" s="91"/>
      <c r="H8" s="91"/>
      <c r="I8" s="91"/>
      <c r="J8" s="91"/>
      <c r="K8" s="91"/>
      <c r="L8" s="91"/>
    </row>
    <row r="9" spans="1:93" ht="12.75" customHeight="1" x14ac:dyDescent="0.2">
      <c r="A9" s="13"/>
      <c r="B9" s="13"/>
      <c r="C9" s="13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90" t="s">
        <v>463</v>
      </c>
      <c r="B10" s="90"/>
      <c r="C10" s="90"/>
      <c r="D10" s="90"/>
      <c r="E10" s="90"/>
      <c r="F10" s="91" t="s">
        <v>311</v>
      </c>
      <c r="G10" s="91"/>
      <c r="H10" s="91"/>
      <c r="I10" s="91"/>
      <c r="J10" s="91"/>
      <c r="K10" s="91"/>
      <c r="L10" s="91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90" t="s">
        <v>464</v>
      </c>
      <c r="B12" s="90"/>
      <c r="C12" s="90"/>
      <c r="D12" s="90"/>
      <c r="E12" s="90"/>
      <c r="F12" s="91" t="s">
        <v>497</v>
      </c>
      <c r="G12" s="91"/>
      <c r="H12" s="91"/>
      <c r="I12" s="91"/>
      <c r="J12" s="91"/>
      <c r="K12" s="91"/>
      <c r="L12" s="91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90" t="s">
        <v>465</v>
      </c>
      <c r="B14" s="90"/>
      <c r="C14" s="90"/>
      <c r="D14" s="90"/>
      <c r="E14" s="90"/>
      <c r="F14" s="91" t="str">
        <f>IF(Source!CZ12 &lt;&gt; "", Source!CZ12, "")</f>
        <v/>
      </c>
      <c r="G14" s="91"/>
      <c r="H14" s="91"/>
      <c r="I14" s="91"/>
      <c r="J14" s="91"/>
      <c r="K14" s="91"/>
      <c r="L14" s="91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90" t="s">
        <v>466</v>
      </c>
      <c r="B16" s="90"/>
      <c r="C16" s="90"/>
      <c r="D16" s="90"/>
      <c r="E16" s="90"/>
      <c r="F16" s="91" t="str">
        <f>IF(Source!DA12 &lt;&gt; "", Source!DA12, "")</f>
        <v/>
      </c>
      <c r="G16" s="91"/>
      <c r="H16" s="91"/>
      <c r="I16" s="91"/>
      <c r="J16" s="91"/>
      <c r="K16" s="91"/>
      <c r="L16" s="91"/>
    </row>
    <row r="17" spans="1:92" ht="12.75" customHeight="1" x14ac:dyDescent="0.2">
      <c r="A17" s="17"/>
      <c r="B17" s="17"/>
      <c r="C17" s="17"/>
      <c r="D17" s="17"/>
      <c r="E17" s="17"/>
      <c r="F17" s="18"/>
      <c r="G17" s="18"/>
      <c r="H17" s="18"/>
      <c r="I17" s="18"/>
      <c r="J17" s="18"/>
      <c r="K17" s="18"/>
      <c r="L17" s="18"/>
    </row>
    <row r="18" spans="1:92" ht="15.75" x14ac:dyDescent="0.25">
      <c r="A18" s="87"/>
      <c r="B18" s="95" t="s">
        <v>580</v>
      </c>
      <c r="C18" s="95"/>
      <c r="D18" s="88"/>
      <c r="E18" s="89"/>
      <c r="F18" s="89"/>
      <c r="G18" s="17"/>
      <c r="H18" s="17"/>
      <c r="I18" s="17"/>
      <c r="J18" s="17"/>
      <c r="K18" s="17"/>
      <c r="L18" s="17"/>
    </row>
    <row r="19" spans="1:92" ht="15.75" x14ac:dyDescent="0.25">
      <c r="A19" s="87"/>
      <c r="B19" s="88"/>
      <c r="C19" s="89"/>
      <c r="D19" s="88"/>
      <c r="E19" s="89"/>
      <c r="F19" s="89"/>
      <c r="G19" s="17"/>
      <c r="H19" s="17"/>
      <c r="I19" s="17"/>
      <c r="J19" s="17"/>
      <c r="K19" s="17"/>
      <c r="L19" s="17"/>
    </row>
    <row r="20" spans="1:92" ht="15.75" x14ac:dyDescent="0.25">
      <c r="A20" s="87"/>
      <c r="B20" s="95" t="s">
        <v>581</v>
      </c>
      <c r="C20" s="95"/>
      <c r="D20" s="95"/>
      <c r="E20" s="95"/>
      <c r="F20" s="95"/>
      <c r="G20" s="17"/>
      <c r="H20" s="17"/>
      <c r="I20" s="17"/>
      <c r="J20" s="17"/>
      <c r="K20" s="17"/>
      <c r="L20" s="17"/>
    </row>
    <row r="21" spans="1:92" ht="15.75" x14ac:dyDescent="0.25">
      <c r="A21" s="87"/>
      <c r="B21" s="88"/>
      <c r="C21" s="89"/>
      <c r="D21" s="88"/>
      <c r="E21" s="89"/>
      <c r="F21" s="89"/>
      <c r="G21" s="17"/>
      <c r="H21" s="17"/>
      <c r="I21" s="17"/>
      <c r="J21" s="17"/>
      <c r="K21" s="17"/>
      <c r="L21" s="17"/>
    </row>
    <row r="22" spans="1:92" ht="15.75" x14ac:dyDescent="0.25">
      <c r="A22" s="87"/>
      <c r="B22" s="95" t="s">
        <v>582</v>
      </c>
      <c r="C22" s="95"/>
      <c r="D22" s="95"/>
      <c r="E22" s="95"/>
      <c r="F22" s="89"/>
      <c r="G22" s="17"/>
      <c r="H22" s="17"/>
      <c r="I22" s="17"/>
      <c r="J22" s="17"/>
      <c r="K22" s="17"/>
      <c r="L22" s="17"/>
    </row>
    <row r="23" spans="1:92" ht="15.75" x14ac:dyDescent="0.25">
      <c r="A23" s="87"/>
      <c r="B23" s="88"/>
      <c r="C23" s="89"/>
      <c r="D23" s="88"/>
      <c r="E23" s="89"/>
      <c r="F23" s="89"/>
      <c r="G23" s="17"/>
      <c r="H23" s="17"/>
      <c r="I23" s="17"/>
      <c r="J23" s="17"/>
      <c r="K23" s="17"/>
      <c r="L23" s="17"/>
    </row>
    <row r="24" spans="1:92" ht="15.75" x14ac:dyDescent="0.25">
      <c r="A24" s="87"/>
      <c r="B24" s="95" t="s">
        <v>583</v>
      </c>
      <c r="C24" s="95"/>
      <c r="D24" s="88"/>
      <c r="E24" s="88"/>
      <c r="F24" s="89"/>
      <c r="G24" s="17"/>
      <c r="H24" s="17"/>
      <c r="I24" s="17"/>
      <c r="J24" s="17"/>
      <c r="K24" s="17"/>
      <c r="L24" s="17"/>
    </row>
    <row r="25" spans="1:92" ht="14.25" x14ac:dyDescent="0.2">
      <c r="A25" s="19"/>
      <c r="B25" s="19"/>
      <c r="C25" s="19"/>
      <c r="D25" s="19"/>
      <c r="E25" s="19"/>
      <c r="F25" s="20"/>
      <c r="G25" s="20"/>
      <c r="H25" s="20"/>
      <c r="I25" s="20"/>
      <c r="J25" s="20"/>
      <c r="K25" s="20"/>
      <c r="L25" s="20"/>
    </row>
    <row r="26" spans="1:92" ht="15.75" x14ac:dyDescent="0.25">
      <c r="A26" s="96" t="s">
        <v>584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</row>
    <row r="27" spans="1:92" ht="15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1"/>
    </row>
    <row r="28" spans="1:92" ht="36" x14ac:dyDescent="0.25">
      <c r="A28" s="92" t="str">
        <f>IF(Source!G20&lt;&gt;"Новая локальная смета", Source!G20, "")</f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CN28" s="23" t="str">
        <f>IF(Source!G20&lt;&gt;"Новая локальная смета", Source!G20, "")</f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</row>
    <row r="29" spans="1:92" ht="14.25" customHeight="1" x14ac:dyDescent="0.2">
      <c r="A29" s="93" t="s">
        <v>467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</row>
    <row r="30" spans="1:92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92" ht="14.2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92" ht="12.75" customHeight="1" x14ac:dyDescent="0.2">
      <c r="A32" s="12" t="s">
        <v>468</v>
      </c>
      <c r="B32" s="12"/>
      <c r="C32" s="25" t="s">
        <v>498</v>
      </c>
      <c r="D32" s="12" t="s">
        <v>469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26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470</v>
      </c>
      <c r="B34" s="12"/>
      <c r="C34" s="94"/>
      <c r="D34" s="94"/>
      <c r="E34" s="94"/>
      <c r="F34" s="94"/>
      <c r="G34" s="94"/>
      <c r="H34" s="94"/>
      <c r="I34" s="94"/>
      <c r="J34" s="94"/>
      <c r="K34" s="94"/>
      <c r="L34" s="94"/>
    </row>
    <row r="35" spans="1:12" ht="12.75" customHeight="1" x14ac:dyDescent="0.2">
      <c r="A35" s="27"/>
      <c r="B35" s="28"/>
      <c r="C35" s="93" t="s">
        <v>471</v>
      </c>
      <c r="D35" s="93"/>
      <c r="E35" s="93"/>
      <c r="F35" s="93"/>
      <c r="G35" s="93"/>
      <c r="H35" s="93"/>
      <c r="I35" s="93"/>
      <c r="J35" s="93"/>
      <c r="K35" s="93"/>
      <c r="L35" s="93"/>
    </row>
    <row r="36" spans="1:12" ht="14.2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9" t="s">
        <v>499</v>
      </c>
      <c r="B37" s="19"/>
      <c r="C37" s="19"/>
      <c r="D37" s="30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9" t="s">
        <v>472</v>
      </c>
      <c r="B39" s="19"/>
      <c r="C39" s="111">
        <f>L517/1000</f>
        <v>616.98946799999999</v>
      </c>
      <c r="D39" s="112"/>
      <c r="E39" s="12" t="s">
        <v>473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9"/>
      <c r="B40" s="19"/>
      <c r="C40" s="75"/>
      <c r="D40" s="31"/>
      <c r="E40" s="12"/>
      <c r="F40" s="17"/>
      <c r="G40" s="12" t="s">
        <v>474</v>
      </c>
      <c r="H40" s="19"/>
      <c r="I40" s="12"/>
      <c r="J40" s="12"/>
      <c r="K40" s="77">
        <f>ROUND(SUM(AR53:AR514)/1000, 2)</f>
        <v>67.680000000000007</v>
      </c>
      <c r="L40" s="12" t="s">
        <v>473</v>
      </c>
    </row>
    <row r="41" spans="1:12" ht="14.25" customHeight="1" x14ac:dyDescent="0.2">
      <c r="A41" s="19"/>
      <c r="B41" s="32" t="s">
        <v>475</v>
      </c>
      <c r="C41" s="76"/>
      <c r="D41" s="19"/>
      <c r="E41" s="12"/>
      <c r="F41" s="17"/>
      <c r="G41" s="12" t="s">
        <v>476</v>
      </c>
      <c r="H41" s="19"/>
      <c r="I41" s="12"/>
      <c r="J41" s="12"/>
      <c r="K41" s="77">
        <f>ROUND(SUM(AT53:AT514)/1000, 2)</f>
        <v>21.59</v>
      </c>
      <c r="L41" s="12" t="s">
        <v>473</v>
      </c>
    </row>
    <row r="42" spans="1:12" ht="14.25" customHeight="1" x14ac:dyDescent="0.2">
      <c r="A42" s="19"/>
      <c r="B42" s="29" t="s">
        <v>477</v>
      </c>
      <c r="C42" s="111">
        <f>ROUND((Source!F243)/1000, 2)</f>
        <v>138.88</v>
      </c>
      <c r="D42" s="112"/>
      <c r="E42" s="12" t="s">
        <v>473</v>
      </c>
      <c r="F42" s="17"/>
      <c r="G42" s="12" t="s">
        <v>478</v>
      </c>
      <c r="H42" s="19"/>
      <c r="I42" s="12"/>
      <c r="J42" s="31"/>
      <c r="K42" s="77">
        <f>Source!F248</f>
        <v>159.10936000000001</v>
      </c>
      <c r="L42" s="12" t="s">
        <v>324</v>
      </c>
    </row>
    <row r="43" spans="1:12" ht="14.25" customHeight="1" x14ac:dyDescent="0.2">
      <c r="A43" s="19"/>
      <c r="B43" s="29" t="s">
        <v>479</v>
      </c>
      <c r="C43" s="111">
        <f>ROUND((Source!F244)/1000, 2)</f>
        <v>241.62</v>
      </c>
      <c r="D43" s="112"/>
      <c r="E43" s="12" t="s">
        <v>473</v>
      </c>
      <c r="F43" s="17"/>
      <c r="G43" s="12" t="s">
        <v>480</v>
      </c>
      <c r="H43" s="19"/>
      <c r="I43" s="12"/>
      <c r="J43" s="33"/>
      <c r="K43" s="77">
        <f>Source!F249</f>
        <v>39.298569999999998</v>
      </c>
      <c r="L43" s="12" t="s">
        <v>324</v>
      </c>
    </row>
    <row r="44" spans="1:12" ht="14.25" customHeight="1" x14ac:dyDescent="0.2">
      <c r="A44" s="19"/>
      <c r="B44" s="29" t="s">
        <v>481</v>
      </c>
      <c r="C44" s="111">
        <f>ROUND((Source!F235)/1000, 2)</f>
        <v>0</v>
      </c>
      <c r="D44" s="112"/>
      <c r="E44" s="12" t="s">
        <v>473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9" t="s">
        <v>482</v>
      </c>
      <c r="C45" s="111">
        <f>ROUND((Source!F245)/1000, 2)</f>
        <v>5.54</v>
      </c>
      <c r="D45" s="112"/>
      <c r="E45" s="12" t="s">
        <v>473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</row>
    <row r="47" spans="1:12" ht="12.75" customHeight="1" x14ac:dyDescent="0.2">
      <c r="A47" s="97" t="s">
        <v>483</v>
      </c>
      <c r="B47" s="97" t="s">
        <v>484</v>
      </c>
      <c r="C47" s="97" t="s">
        <v>485</v>
      </c>
      <c r="D47" s="97" t="s">
        <v>486</v>
      </c>
      <c r="E47" s="100" t="s">
        <v>487</v>
      </c>
      <c r="F47" s="101"/>
      <c r="G47" s="102"/>
      <c r="H47" s="100" t="s">
        <v>488</v>
      </c>
      <c r="I47" s="101"/>
      <c r="J47" s="101"/>
      <c r="K47" s="101"/>
      <c r="L47" s="102"/>
    </row>
    <row r="48" spans="1:12" ht="12.75" customHeight="1" x14ac:dyDescent="0.2">
      <c r="A48" s="98"/>
      <c r="B48" s="98"/>
      <c r="C48" s="98"/>
      <c r="D48" s="98"/>
      <c r="E48" s="103"/>
      <c r="F48" s="104"/>
      <c r="G48" s="105"/>
      <c r="H48" s="109"/>
      <c r="I48" s="104"/>
      <c r="J48" s="104"/>
      <c r="K48" s="104"/>
      <c r="L48" s="105"/>
    </row>
    <row r="49" spans="1:83" ht="12.75" customHeight="1" x14ac:dyDescent="0.2">
      <c r="A49" s="98"/>
      <c r="B49" s="98"/>
      <c r="C49" s="98"/>
      <c r="D49" s="98"/>
      <c r="E49" s="103"/>
      <c r="F49" s="104"/>
      <c r="G49" s="105"/>
      <c r="H49" s="109"/>
      <c r="I49" s="104"/>
      <c r="J49" s="104"/>
      <c r="K49" s="104"/>
      <c r="L49" s="105"/>
    </row>
    <row r="50" spans="1:83" ht="12.75" customHeight="1" x14ac:dyDescent="0.2">
      <c r="A50" s="98"/>
      <c r="B50" s="98"/>
      <c r="C50" s="98"/>
      <c r="D50" s="98"/>
      <c r="E50" s="106"/>
      <c r="F50" s="107"/>
      <c r="G50" s="108"/>
      <c r="H50" s="110"/>
      <c r="I50" s="107"/>
      <c r="J50" s="107"/>
      <c r="K50" s="107"/>
      <c r="L50" s="108"/>
    </row>
    <row r="51" spans="1:83" ht="51" customHeight="1" x14ac:dyDescent="0.2">
      <c r="A51" s="99"/>
      <c r="B51" s="99"/>
      <c r="C51" s="99"/>
      <c r="D51" s="99"/>
      <c r="E51" s="35" t="s">
        <v>489</v>
      </c>
      <c r="F51" s="35" t="s">
        <v>490</v>
      </c>
      <c r="G51" s="36" t="s">
        <v>491</v>
      </c>
      <c r="H51" s="35" t="s">
        <v>492</v>
      </c>
      <c r="I51" s="35" t="s">
        <v>493</v>
      </c>
      <c r="J51" s="35" t="s">
        <v>494</v>
      </c>
      <c r="K51" s="35" t="s">
        <v>490</v>
      </c>
      <c r="L51" s="35" t="s">
        <v>495</v>
      </c>
    </row>
    <row r="52" spans="1:83" ht="14.25" customHeight="1" x14ac:dyDescent="0.2">
      <c r="A52" s="37">
        <v>1</v>
      </c>
      <c r="B52" s="37">
        <v>2</v>
      </c>
      <c r="C52" s="37">
        <v>3</v>
      </c>
      <c r="D52" s="37">
        <v>4</v>
      </c>
      <c r="E52" s="37">
        <v>5</v>
      </c>
      <c r="F52" s="37">
        <v>6</v>
      </c>
      <c r="G52" s="37">
        <v>7</v>
      </c>
      <c r="H52" s="37">
        <v>8</v>
      </c>
      <c r="I52" s="37">
        <v>9</v>
      </c>
      <c r="J52" s="37">
        <v>10</v>
      </c>
      <c r="K52" s="39">
        <v>11</v>
      </c>
      <c r="L52" s="39">
        <v>12</v>
      </c>
    </row>
    <row r="54" spans="1:83" ht="16.5" x14ac:dyDescent="0.2">
      <c r="A54" s="118" t="s">
        <v>500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</row>
    <row r="55" spans="1:83" ht="120.75" x14ac:dyDescent="0.2">
      <c r="A55" s="40" t="s">
        <v>20</v>
      </c>
      <c r="B55" s="42" t="s">
        <v>501</v>
      </c>
      <c r="C55" s="42" t="s">
        <v>502</v>
      </c>
      <c r="D55" s="43" t="str">
        <f>Source!H28</f>
        <v>1000 м</v>
      </c>
      <c r="E55" s="44">
        <f>Source!K28</f>
        <v>0.21</v>
      </c>
      <c r="F55" s="44"/>
      <c r="G55" s="44">
        <f>Source!I28</f>
        <v>0.21</v>
      </c>
      <c r="H55" s="46"/>
      <c r="I55" s="45"/>
      <c r="J55" s="46"/>
      <c r="K55" s="45"/>
      <c r="L55" s="46"/>
    </row>
    <row r="56" spans="1:83" ht="25.5" x14ac:dyDescent="0.2">
      <c r="B56" s="47" t="str">
        <f>Source!EO28</f>
        <v>Поправка: МР 507/пр Табл.3, п.4</v>
      </c>
    </row>
    <row r="57" spans="1:83" x14ac:dyDescent="0.2">
      <c r="C57" s="48" t="str">
        <f>"Объем: "&amp;Source!I28&amp;"=210/"&amp;"1000"</f>
        <v>Объем: 0,21=210/1000</v>
      </c>
    </row>
    <row r="58" spans="1:83" ht="15" x14ac:dyDescent="0.2">
      <c r="A58" s="41"/>
      <c r="B58" s="44">
        <v>1</v>
      </c>
      <c r="C58" s="41" t="s">
        <v>503</v>
      </c>
      <c r="D58" s="43" t="s">
        <v>324</v>
      </c>
      <c r="E58" s="49"/>
      <c r="F58" s="44"/>
      <c r="G58" s="49">
        <f>Source!U28</f>
        <v>5.9925600000000001</v>
      </c>
      <c r="H58" s="44"/>
      <c r="I58" s="44"/>
      <c r="J58" s="44"/>
      <c r="K58" s="44"/>
      <c r="L58" s="50">
        <f>SUM(L59:L62)-SUMIF(CE59:CE62, 1, L59:L62)</f>
        <v>2554.02</v>
      </c>
    </row>
    <row r="59" spans="1:83" ht="14.25" x14ac:dyDescent="0.2">
      <c r="A59" s="42"/>
      <c r="B59" s="42" t="s">
        <v>313</v>
      </c>
      <c r="C59" s="42" t="s">
        <v>314</v>
      </c>
      <c r="D59" s="43" t="s">
        <v>315</v>
      </c>
      <c r="E59" s="44">
        <v>0.99</v>
      </c>
      <c r="F59" s="44">
        <f>ROUND(0.3,7)</f>
        <v>0.3</v>
      </c>
      <c r="G59" s="44">
        <f>SmtRes!CX1</f>
        <v>6.2370000000000002E-2</v>
      </c>
      <c r="H59" s="46"/>
      <c r="I59" s="45"/>
      <c r="J59" s="46">
        <f>SmtRes!CZ1</f>
        <v>354.06</v>
      </c>
      <c r="K59" s="45"/>
      <c r="L59" s="46">
        <f>SmtRes!DI1</f>
        <v>22.08</v>
      </c>
    </row>
    <row r="60" spans="1:83" ht="14.25" x14ac:dyDescent="0.2">
      <c r="A60" s="42"/>
      <c r="B60" s="42" t="s">
        <v>316</v>
      </c>
      <c r="C60" s="42" t="s">
        <v>317</v>
      </c>
      <c r="D60" s="43" t="s">
        <v>315</v>
      </c>
      <c r="E60" s="44">
        <v>47.29</v>
      </c>
      <c r="F60" s="44">
        <f>ROUND(0.3,7)</f>
        <v>0.3</v>
      </c>
      <c r="G60" s="44">
        <f>SmtRes!CX2</f>
        <v>2.9792700000000001</v>
      </c>
      <c r="H60" s="46"/>
      <c r="I60" s="45"/>
      <c r="J60" s="46">
        <f>SmtRes!CZ2</f>
        <v>386.55</v>
      </c>
      <c r="K60" s="45"/>
      <c r="L60" s="46">
        <f>SmtRes!DI2</f>
        <v>1151.6400000000001</v>
      </c>
    </row>
    <row r="61" spans="1:83" ht="14.25" x14ac:dyDescent="0.2">
      <c r="A61" s="42"/>
      <c r="B61" s="42" t="s">
        <v>318</v>
      </c>
      <c r="C61" s="42" t="s">
        <v>319</v>
      </c>
      <c r="D61" s="43" t="s">
        <v>315</v>
      </c>
      <c r="E61" s="44">
        <v>23.42</v>
      </c>
      <c r="F61" s="44">
        <f>ROUND(0.3,7)</f>
        <v>0.3</v>
      </c>
      <c r="G61" s="44">
        <f>SmtRes!CX3</f>
        <v>1.47546</v>
      </c>
      <c r="H61" s="46"/>
      <c r="I61" s="45"/>
      <c r="J61" s="46">
        <f>SmtRes!CZ3</f>
        <v>435.27</v>
      </c>
      <c r="K61" s="45"/>
      <c r="L61" s="46">
        <f>SmtRes!DI3</f>
        <v>642.22</v>
      </c>
    </row>
    <row r="62" spans="1:83" ht="14.25" x14ac:dyDescent="0.2">
      <c r="A62" s="42"/>
      <c r="B62" s="42" t="s">
        <v>320</v>
      </c>
      <c r="C62" s="42" t="s">
        <v>321</v>
      </c>
      <c r="D62" s="43" t="s">
        <v>315</v>
      </c>
      <c r="E62" s="44">
        <v>23.42</v>
      </c>
      <c r="F62" s="44">
        <f>ROUND(0.3,7)</f>
        <v>0.3</v>
      </c>
      <c r="G62" s="44">
        <f>SmtRes!CX4</f>
        <v>1.47546</v>
      </c>
      <c r="H62" s="46"/>
      <c r="I62" s="45"/>
      <c r="J62" s="46">
        <f>SmtRes!CZ4</f>
        <v>500.24</v>
      </c>
      <c r="K62" s="45"/>
      <c r="L62" s="46">
        <f>SmtRes!DI4</f>
        <v>738.08</v>
      </c>
    </row>
    <row r="63" spans="1:83" ht="15" x14ac:dyDescent="0.2">
      <c r="A63" s="41"/>
      <c r="B63" s="44">
        <v>2</v>
      </c>
      <c r="C63" s="41" t="s">
        <v>504</v>
      </c>
      <c r="D63" s="43"/>
      <c r="E63" s="49"/>
      <c r="F63" s="44"/>
      <c r="G63" s="49"/>
      <c r="H63" s="44"/>
      <c r="I63" s="44"/>
      <c r="J63" s="44"/>
      <c r="K63" s="44"/>
      <c r="L63" s="50">
        <f>SUM(L64:L73)-SUMIF(CE64:CE73, 1, L64:L73)</f>
        <v>750.3299999999997</v>
      </c>
    </row>
    <row r="64" spans="1:83" ht="15" x14ac:dyDescent="0.2">
      <c r="A64" s="41"/>
      <c r="B64" s="44"/>
      <c r="C64" s="41" t="s">
        <v>507</v>
      </c>
      <c r="D64" s="43" t="s">
        <v>324</v>
      </c>
      <c r="E64" s="49"/>
      <c r="F64" s="44"/>
      <c r="G64" s="49">
        <f>Source!V28</f>
        <v>1.5680699999999999</v>
      </c>
      <c r="H64" s="44"/>
      <c r="I64" s="44"/>
      <c r="J64" s="44"/>
      <c r="K64" s="44"/>
      <c r="L64" s="50">
        <f>SUMIF(CE65:CE73, 1, L65:L73)</f>
        <v>689.6</v>
      </c>
      <c r="CE64">
        <v>1</v>
      </c>
    </row>
    <row r="65" spans="1:83" ht="28.5" x14ac:dyDescent="0.2">
      <c r="A65" s="42"/>
      <c r="B65" s="42" t="s">
        <v>325</v>
      </c>
      <c r="C65" s="42" t="s">
        <v>327</v>
      </c>
      <c r="D65" s="43" t="s">
        <v>194</v>
      </c>
      <c r="E65" s="44">
        <v>0.75</v>
      </c>
      <c r="F65" s="44">
        <f t="shared" ref="F65:F73" si="0">ROUND(0.3,7)</f>
        <v>0.3</v>
      </c>
      <c r="G65" s="44">
        <f>SmtRes!CX6</f>
        <v>4.725E-2</v>
      </c>
      <c r="H65" s="46"/>
      <c r="I65" s="45"/>
      <c r="J65" s="46">
        <f>SmtRes!CZ6</f>
        <v>1459.82</v>
      </c>
      <c r="K65" s="45"/>
      <c r="L65" s="46">
        <f>SmtRes!DG6</f>
        <v>68.98</v>
      </c>
    </row>
    <row r="66" spans="1:83" ht="28.5" x14ac:dyDescent="0.2">
      <c r="A66" s="42"/>
      <c r="B66" s="42" t="s">
        <v>328</v>
      </c>
      <c r="C66" s="42" t="s">
        <v>505</v>
      </c>
      <c r="D66" s="43" t="s">
        <v>324</v>
      </c>
      <c r="E66" s="44">
        <f>SmtRes!DO6*SmtRes!AT6</f>
        <v>0.75</v>
      </c>
      <c r="F66" s="44">
        <f t="shared" si="0"/>
        <v>0.3</v>
      </c>
      <c r="G66" s="44">
        <f>SmtRes!DO6*SmtRes!CX6</f>
        <v>4.725E-2</v>
      </c>
      <c r="H66" s="46"/>
      <c r="I66" s="45"/>
      <c r="J66" s="46">
        <f>ROUND(SmtRes!AG6/SmtRes!DO6, 2)</f>
        <v>584.69000000000005</v>
      </c>
      <c r="K66" s="45"/>
      <c r="L66" s="46">
        <f>SmtRes!DH6</f>
        <v>27.63</v>
      </c>
      <c r="CE66">
        <v>1</v>
      </c>
    </row>
    <row r="67" spans="1:83" ht="28.5" x14ac:dyDescent="0.2">
      <c r="A67" s="42"/>
      <c r="B67" s="42" t="s">
        <v>329</v>
      </c>
      <c r="C67" s="42" t="s">
        <v>331</v>
      </c>
      <c r="D67" s="43" t="s">
        <v>194</v>
      </c>
      <c r="E67" s="44">
        <v>0.81</v>
      </c>
      <c r="F67" s="44">
        <f t="shared" si="0"/>
        <v>0.3</v>
      </c>
      <c r="G67" s="44">
        <f>SmtRes!CX7</f>
        <v>5.1029999999999999E-2</v>
      </c>
      <c r="H67" s="46"/>
      <c r="I67" s="45"/>
      <c r="J67" s="46">
        <f>SmtRes!CZ7</f>
        <v>15.06</v>
      </c>
      <c r="K67" s="45"/>
      <c r="L67" s="46">
        <f>SmtRes!DG7</f>
        <v>0.77</v>
      </c>
    </row>
    <row r="68" spans="1:83" ht="28.5" x14ac:dyDescent="0.2">
      <c r="A68" s="42"/>
      <c r="B68" s="42" t="s">
        <v>332</v>
      </c>
      <c r="C68" s="42" t="s">
        <v>334</v>
      </c>
      <c r="D68" s="43" t="s">
        <v>194</v>
      </c>
      <c r="E68" s="44">
        <v>22.74</v>
      </c>
      <c r="F68" s="44">
        <f t="shared" si="0"/>
        <v>0.3</v>
      </c>
      <c r="G68" s="44">
        <f>SmtRes!CX8</f>
        <v>1.43262</v>
      </c>
      <c r="H68" s="46">
        <f>SmtRes!CZ8</f>
        <v>346.73</v>
      </c>
      <c r="I68" s="45">
        <f>SmtRes!AJ8</f>
        <v>1.31</v>
      </c>
      <c r="J68" s="46">
        <f>ROUND(H68*I68, 2)</f>
        <v>454.22</v>
      </c>
      <c r="K68" s="45"/>
      <c r="L68" s="46">
        <f>SmtRes!DG8</f>
        <v>650.72</v>
      </c>
    </row>
    <row r="69" spans="1:83" ht="28.5" x14ac:dyDescent="0.2">
      <c r="A69" s="42"/>
      <c r="B69" s="42" t="s">
        <v>335</v>
      </c>
      <c r="C69" s="42" t="s">
        <v>506</v>
      </c>
      <c r="D69" s="43" t="s">
        <v>324</v>
      </c>
      <c r="E69" s="44">
        <f>SmtRes!DO8*SmtRes!AT8</f>
        <v>22.74</v>
      </c>
      <c r="F69" s="44">
        <f t="shared" si="0"/>
        <v>0.3</v>
      </c>
      <c r="G69" s="44">
        <f>SmtRes!DO8*SmtRes!CX8</f>
        <v>1.43262</v>
      </c>
      <c r="H69" s="46"/>
      <c r="I69" s="45"/>
      <c r="J69" s="46">
        <f>ROUND(SmtRes!AG8/SmtRes!DO8, 2)</f>
        <v>435.27</v>
      </c>
      <c r="K69" s="45"/>
      <c r="L69" s="46">
        <f>SmtRes!DH8</f>
        <v>623.58000000000004</v>
      </c>
      <c r="CE69">
        <v>1</v>
      </c>
    </row>
    <row r="70" spans="1:83" ht="28.5" x14ac:dyDescent="0.2">
      <c r="A70" s="42"/>
      <c r="B70" s="42" t="s">
        <v>336</v>
      </c>
      <c r="C70" s="42" t="s">
        <v>338</v>
      </c>
      <c r="D70" s="43" t="s">
        <v>194</v>
      </c>
      <c r="E70" s="44">
        <v>0.59</v>
      </c>
      <c r="F70" s="44">
        <f t="shared" si="0"/>
        <v>0.3</v>
      </c>
      <c r="G70" s="44">
        <f>SmtRes!CX9</f>
        <v>3.7170000000000002E-2</v>
      </c>
      <c r="H70" s="46">
        <f>SmtRes!CZ9</f>
        <v>477.92</v>
      </c>
      <c r="I70" s="45">
        <f>SmtRes!AJ9</f>
        <v>1.19</v>
      </c>
      <c r="J70" s="46">
        <f>ROUND(H70*I70, 2)</f>
        <v>568.72</v>
      </c>
      <c r="K70" s="45"/>
      <c r="L70" s="46">
        <f>SmtRes!DG9</f>
        <v>21.14</v>
      </c>
    </row>
    <row r="71" spans="1:83" ht="28.5" x14ac:dyDescent="0.2">
      <c r="A71" s="42"/>
      <c r="B71" s="42" t="s">
        <v>335</v>
      </c>
      <c r="C71" s="42" t="s">
        <v>506</v>
      </c>
      <c r="D71" s="43" t="s">
        <v>324</v>
      </c>
      <c r="E71" s="44">
        <f>SmtRes!DO9*SmtRes!AT9</f>
        <v>0.59</v>
      </c>
      <c r="F71" s="44">
        <f t="shared" si="0"/>
        <v>0.3</v>
      </c>
      <c r="G71" s="44">
        <f>SmtRes!DO9*SmtRes!CX9</f>
        <v>3.7170000000000002E-2</v>
      </c>
      <c r="H71" s="46"/>
      <c r="I71" s="45"/>
      <c r="J71" s="46">
        <f>ROUND(SmtRes!AG9/SmtRes!DO9, 2)</f>
        <v>435.27</v>
      </c>
      <c r="K71" s="45"/>
      <c r="L71" s="46">
        <f>SmtRes!DH9</f>
        <v>16.18</v>
      </c>
      <c r="CE71">
        <v>1</v>
      </c>
    </row>
    <row r="72" spans="1:83" ht="28.5" x14ac:dyDescent="0.2">
      <c r="A72" s="42"/>
      <c r="B72" s="42" t="s">
        <v>339</v>
      </c>
      <c r="C72" s="42" t="s">
        <v>341</v>
      </c>
      <c r="D72" s="43" t="s">
        <v>194</v>
      </c>
      <c r="E72" s="44">
        <v>0.81</v>
      </c>
      <c r="F72" s="44">
        <f t="shared" si="0"/>
        <v>0.3</v>
      </c>
      <c r="G72" s="44">
        <f>SmtRes!CX10</f>
        <v>5.1029999999999999E-2</v>
      </c>
      <c r="H72" s="46"/>
      <c r="I72" s="45"/>
      <c r="J72" s="46">
        <f>SmtRes!CZ10</f>
        <v>170.84</v>
      </c>
      <c r="K72" s="45"/>
      <c r="L72" s="46">
        <f>SmtRes!DG10</f>
        <v>8.7200000000000006</v>
      </c>
    </row>
    <row r="73" spans="1:83" ht="28.5" x14ac:dyDescent="0.2">
      <c r="A73" s="42"/>
      <c r="B73" s="42" t="s">
        <v>335</v>
      </c>
      <c r="C73" s="42" t="s">
        <v>506</v>
      </c>
      <c r="D73" s="43" t="s">
        <v>324</v>
      </c>
      <c r="E73" s="44">
        <f>SmtRes!DO10*SmtRes!AT10</f>
        <v>0.81</v>
      </c>
      <c r="F73" s="44">
        <f t="shared" si="0"/>
        <v>0.3</v>
      </c>
      <c r="G73" s="44">
        <f>SmtRes!DO10*SmtRes!CX10</f>
        <v>5.1029999999999999E-2</v>
      </c>
      <c r="H73" s="46"/>
      <c r="I73" s="45"/>
      <c r="J73" s="46">
        <f>ROUND(SmtRes!AG10/SmtRes!DO10, 2)</f>
        <v>435.27</v>
      </c>
      <c r="K73" s="45"/>
      <c r="L73" s="46">
        <f>SmtRes!DH10</f>
        <v>22.21</v>
      </c>
      <c r="CE73">
        <v>1</v>
      </c>
    </row>
    <row r="74" spans="1:83" ht="15" x14ac:dyDescent="0.2">
      <c r="A74" s="41"/>
      <c r="B74" s="44">
        <v>4</v>
      </c>
      <c r="C74" s="51" t="s">
        <v>508</v>
      </c>
      <c r="D74" s="52"/>
      <c r="E74" s="53"/>
      <c r="F74" s="54"/>
      <c r="G74" s="53"/>
      <c r="H74" s="54"/>
      <c r="I74" s="54"/>
      <c r="J74" s="54"/>
      <c r="K74" s="54"/>
      <c r="L74" s="55">
        <f>0</f>
        <v>0</v>
      </c>
    </row>
    <row r="75" spans="1:83" ht="15" x14ac:dyDescent="0.2">
      <c r="A75" s="42"/>
      <c r="B75" s="42"/>
      <c r="C75" s="58" t="s">
        <v>509</v>
      </c>
      <c r="D75" s="43"/>
      <c r="E75" s="44"/>
      <c r="F75" s="44"/>
      <c r="G75" s="44"/>
      <c r="H75" s="46"/>
      <c r="I75" s="45"/>
      <c r="J75" s="46"/>
      <c r="K75" s="45"/>
      <c r="L75" s="46">
        <f>L58+L63+L64+L74</f>
        <v>3993.9499999999994</v>
      </c>
    </row>
    <row r="76" spans="1:83" ht="14.25" x14ac:dyDescent="0.2">
      <c r="A76" s="42"/>
      <c r="B76" s="42"/>
      <c r="C76" s="42" t="s">
        <v>510</v>
      </c>
      <c r="D76" s="43"/>
      <c r="E76" s="44"/>
      <c r="F76" s="44"/>
      <c r="G76" s="44"/>
      <c r="H76" s="46"/>
      <c r="I76" s="45"/>
      <c r="J76" s="46"/>
      <c r="K76" s="45"/>
      <c r="L76" s="46">
        <f>SUM(AR55:AR79)+SUM(AS55:AS79)+SUM(AT55:AT79)+SUM(AU55:AU79)+SUM(AV55:AV79)</f>
        <v>3243.62</v>
      </c>
    </row>
    <row r="77" spans="1:83" ht="14.25" x14ac:dyDescent="0.2">
      <c r="A77" s="42"/>
      <c r="B77" s="42" t="s">
        <v>33</v>
      </c>
      <c r="C77" s="42" t="s">
        <v>511</v>
      </c>
      <c r="D77" s="43" t="s">
        <v>365</v>
      </c>
      <c r="E77" s="44">
        <f>Source!BZ28</f>
        <v>103</v>
      </c>
      <c r="F77" s="44"/>
      <c r="G77" s="44">
        <f>Source!AT28</f>
        <v>103</v>
      </c>
      <c r="H77" s="46"/>
      <c r="I77" s="45"/>
      <c r="J77" s="46"/>
      <c r="K77" s="45"/>
      <c r="L77" s="46">
        <f>SUM(AZ55:AZ79)</f>
        <v>3340.93</v>
      </c>
    </row>
    <row r="78" spans="1:83" ht="14.25" x14ac:dyDescent="0.2">
      <c r="A78" s="60"/>
      <c r="B78" s="60" t="s">
        <v>34</v>
      </c>
      <c r="C78" s="60" t="s">
        <v>512</v>
      </c>
      <c r="D78" s="52" t="s">
        <v>365</v>
      </c>
      <c r="E78" s="54">
        <f>Source!CA28</f>
        <v>60</v>
      </c>
      <c r="F78" s="54"/>
      <c r="G78" s="54">
        <f>Source!AU28</f>
        <v>60</v>
      </c>
      <c r="H78" s="61"/>
      <c r="I78" s="62"/>
      <c r="J78" s="61"/>
      <c r="K78" s="62"/>
      <c r="L78" s="61">
        <f>SUM(BA55:BA79)</f>
        <v>1946.17</v>
      </c>
    </row>
    <row r="79" spans="1:83" ht="15" x14ac:dyDescent="0.2">
      <c r="C79" s="113" t="s">
        <v>513</v>
      </c>
      <c r="D79" s="113"/>
      <c r="E79" s="113"/>
      <c r="F79" s="113"/>
      <c r="G79" s="113"/>
      <c r="H79" s="113"/>
      <c r="I79" s="114">
        <f>K79/E55</f>
        <v>44195.476190476191</v>
      </c>
      <c r="J79" s="114"/>
      <c r="K79" s="114">
        <f>L58+L63+L74+L77+L78+L64</f>
        <v>9281.0499999999993</v>
      </c>
      <c r="L79" s="114"/>
      <c r="AD79">
        <f>ROUND((Source!AT28/100)*((ROUND(SUMIF(SmtRes!AQ1:'SmtRes'!AQ13,"=1",SmtRes!AD1:'SmtRes'!AD13)*Source!I28, 2)+ROUND(SUMIF(SmtRes!AQ1:'SmtRes'!AQ13,"=1",SmtRes!AC1:'SmtRes'!AC13)*Source!I28, 2))), 2)</f>
        <v>771.47</v>
      </c>
      <c r="AE79">
        <f>ROUND((Source!AU28/100)*((ROUND(SUMIF(SmtRes!AQ1:'SmtRes'!AQ13,"=1",SmtRes!AD1:'SmtRes'!AD13)*Source!I28, 2)+ROUND(SUMIF(SmtRes!AQ1:'SmtRes'!AQ13,"=1",SmtRes!AC1:'SmtRes'!AC13)*Source!I28, 2))), 2)</f>
        <v>449.4</v>
      </c>
      <c r="AN79" s="56">
        <f>L58+L63+L74+L77+L78+L64</f>
        <v>9281.0499999999993</v>
      </c>
      <c r="AO79" s="56">
        <f>L63</f>
        <v>750.3299999999997</v>
      </c>
      <c r="AQ79" t="s">
        <v>514</v>
      </c>
      <c r="AR79" s="56">
        <f>L58</f>
        <v>2554.02</v>
      </c>
      <c r="AT79" s="56">
        <f>L64</f>
        <v>689.6</v>
      </c>
      <c r="AV79" t="s">
        <v>514</v>
      </c>
      <c r="AW79" s="56">
        <f>L74</f>
        <v>0</v>
      </c>
      <c r="AZ79">
        <f>Source!X28</f>
        <v>3340.93</v>
      </c>
      <c r="BA79">
        <f>Source!Y28</f>
        <v>1946.17</v>
      </c>
      <c r="CD79">
        <v>1</v>
      </c>
    </row>
    <row r="80" spans="1:83" ht="78" x14ac:dyDescent="0.2">
      <c r="A80" s="40" t="s">
        <v>35</v>
      </c>
      <c r="B80" s="42" t="s">
        <v>515</v>
      </c>
      <c r="C80" s="42" t="s">
        <v>516</v>
      </c>
      <c r="D80" s="43" t="str">
        <f>Source!H29</f>
        <v>100 ШТ</v>
      </c>
      <c r="E80" s="44">
        <f>Source!K29</f>
        <v>0.06</v>
      </c>
      <c r="F80" s="44"/>
      <c r="G80" s="44">
        <f>Source!I29</f>
        <v>0.06</v>
      </c>
      <c r="H80" s="46"/>
      <c r="I80" s="45"/>
      <c r="J80" s="46"/>
      <c r="K80" s="45"/>
      <c r="L80" s="46"/>
    </row>
    <row r="81" spans="1:83" ht="25.5" x14ac:dyDescent="0.2">
      <c r="B81" s="47" t="str">
        <f>Source!EO29</f>
        <v>Поправка: 571/пр_2022_т.3_п.4</v>
      </c>
    </row>
    <row r="82" spans="1:83" x14ac:dyDescent="0.2">
      <c r="C82" s="48" t="str">
        <f>"Объем: "&amp;Source!I29&amp;"=6/"&amp;"100"</f>
        <v>Объем: 0,06=6/100</v>
      </c>
    </row>
    <row r="83" spans="1:83" ht="15" x14ac:dyDescent="0.2">
      <c r="A83" s="41"/>
      <c r="B83" s="44">
        <v>1</v>
      </c>
      <c r="C83" s="41" t="s">
        <v>503</v>
      </c>
      <c r="D83" s="43" t="s">
        <v>324</v>
      </c>
      <c r="E83" s="49"/>
      <c r="F83" s="44"/>
      <c r="G83" s="49">
        <f>Source!U29</f>
        <v>0.74160000000000004</v>
      </c>
      <c r="H83" s="44"/>
      <c r="I83" s="44"/>
      <c r="J83" s="44"/>
      <c r="K83" s="44"/>
      <c r="L83" s="50">
        <f>SUM(L84:L84)-SUMIF(CE84:CE84, 1, L84:L84)</f>
        <v>322.8</v>
      </c>
    </row>
    <row r="84" spans="1:83" ht="28.5" x14ac:dyDescent="0.2">
      <c r="A84" s="42"/>
      <c r="B84" s="42" t="s">
        <v>348</v>
      </c>
      <c r="C84" s="42" t="s">
        <v>349</v>
      </c>
      <c r="D84" s="43" t="s">
        <v>324</v>
      </c>
      <c r="E84" s="44">
        <v>41.2</v>
      </c>
      <c r="F84" s="44">
        <f>ROUND(0.3,7)</f>
        <v>0.3</v>
      </c>
      <c r="G84" s="44">
        <f>SmtRes!CX14</f>
        <v>0.74160000000000004</v>
      </c>
      <c r="H84" s="46"/>
      <c r="I84" s="45"/>
      <c r="J84" s="46">
        <f>SmtRes!CZ14</f>
        <v>435.27</v>
      </c>
      <c r="K84" s="45"/>
      <c r="L84" s="46">
        <f>SmtRes!DI14</f>
        <v>322.8</v>
      </c>
    </row>
    <row r="85" spans="1:83" ht="15" x14ac:dyDescent="0.2">
      <c r="A85" s="41"/>
      <c r="B85" s="44">
        <v>2</v>
      </c>
      <c r="C85" s="41" t="s">
        <v>504</v>
      </c>
      <c r="D85" s="43"/>
      <c r="E85" s="49"/>
      <c r="F85" s="44"/>
      <c r="G85" s="49"/>
      <c r="H85" s="44"/>
      <c r="I85" s="44"/>
      <c r="J85" s="44"/>
      <c r="K85" s="44"/>
      <c r="L85" s="50">
        <f>SUM(L86:L91)-SUMIF(CE86:CE91, 1, L86:L91)</f>
        <v>3.7199999999999998</v>
      </c>
    </row>
    <row r="86" spans="1:83" ht="15" x14ac:dyDescent="0.2">
      <c r="A86" s="41"/>
      <c r="B86" s="44"/>
      <c r="C86" s="41" t="s">
        <v>507</v>
      </c>
      <c r="D86" s="43" t="s">
        <v>324</v>
      </c>
      <c r="E86" s="49"/>
      <c r="F86" s="44"/>
      <c r="G86" s="49">
        <f>Source!V29</f>
        <v>3.5999999999999999E-3</v>
      </c>
      <c r="H86" s="44"/>
      <c r="I86" s="44"/>
      <c r="J86" s="44"/>
      <c r="K86" s="44"/>
      <c r="L86" s="50">
        <f>SUMIF(CE87:CE91, 1, L87:L91)</f>
        <v>1.83</v>
      </c>
      <c r="CE86">
        <v>1</v>
      </c>
    </row>
    <row r="87" spans="1:83" ht="28.5" x14ac:dyDescent="0.2">
      <c r="A87" s="42"/>
      <c r="B87" s="42" t="s">
        <v>325</v>
      </c>
      <c r="C87" s="42" t="s">
        <v>327</v>
      </c>
      <c r="D87" s="43" t="s">
        <v>194</v>
      </c>
      <c r="E87" s="44">
        <v>0.1</v>
      </c>
      <c r="F87" s="44">
        <f>ROUND(0.3,7)</f>
        <v>0.3</v>
      </c>
      <c r="G87" s="44">
        <f>SmtRes!CX16</f>
        <v>1.8E-3</v>
      </c>
      <c r="H87" s="46"/>
      <c r="I87" s="45"/>
      <c r="J87" s="46">
        <f>SmtRes!CZ16</f>
        <v>1459.82</v>
      </c>
      <c r="K87" s="45"/>
      <c r="L87" s="46">
        <f>SmtRes!DG16</f>
        <v>2.63</v>
      </c>
    </row>
    <row r="88" spans="1:83" ht="28.5" x14ac:dyDescent="0.2">
      <c r="A88" s="42"/>
      <c r="B88" s="42" t="s">
        <v>328</v>
      </c>
      <c r="C88" s="42" t="s">
        <v>505</v>
      </c>
      <c r="D88" s="43" t="s">
        <v>324</v>
      </c>
      <c r="E88" s="44">
        <f>SmtRes!DO16*SmtRes!AT16</f>
        <v>0.1</v>
      </c>
      <c r="F88" s="44">
        <f>ROUND(0.3,7)</f>
        <v>0.3</v>
      </c>
      <c r="G88" s="44">
        <f>SmtRes!DO16*SmtRes!CX16</f>
        <v>1.8E-3</v>
      </c>
      <c r="H88" s="46"/>
      <c r="I88" s="45"/>
      <c r="J88" s="46">
        <f>ROUND(SmtRes!AG16/SmtRes!DO16, 2)</f>
        <v>584.69000000000005</v>
      </c>
      <c r="K88" s="45"/>
      <c r="L88" s="46">
        <f>SmtRes!DH16</f>
        <v>1.05</v>
      </c>
      <c r="CE88">
        <v>1</v>
      </c>
    </row>
    <row r="89" spans="1:83" ht="28.5" x14ac:dyDescent="0.2">
      <c r="A89" s="42"/>
      <c r="B89" s="42" t="s">
        <v>336</v>
      </c>
      <c r="C89" s="42" t="s">
        <v>338</v>
      </c>
      <c r="D89" s="43" t="s">
        <v>194</v>
      </c>
      <c r="E89" s="44">
        <v>0.1</v>
      </c>
      <c r="F89" s="44">
        <f>ROUND(0.3,7)</f>
        <v>0.3</v>
      </c>
      <c r="G89" s="44">
        <f>SmtRes!CX17</f>
        <v>1.8E-3</v>
      </c>
      <c r="H89" s="46">
        <f>SmtRes!CZ17</f>
        <v>477.92</v>
      </c>
      <c r="I89" s="45">
        <f>SmtRes!AJ17</f>
        <v>1.19</v>
      </c>
      <c r="J89" s="46">
        <f>ROUND(H89*I89, 2)</f>
        <v>568.72</v>
      </c>
      <c r="K89" s="45"/>
      <c r="L89" s="46">
        <f>SmtRes!DG17</f>
        <v>1.02</v>
      </c>
    </row>
    <row r="90" spans="1:83" ht="28.5" x14ac:dyDescent="0.2">
      <c r="A90" s="42"/>
      <c r="B90" s="42" t="s">
        <v>335</v>
      </c>
      <c r="C90" s="42" t="s">
        <v>506</v>
      </c>
      <c r="D90" s="43" t="s">
        <v>324</v>
      </c>
      <c r="E90" s="44">
        <f>SmtRes!DO17*SmtRes!AT17</f>
        <v>0.1</v>
      </c>
      <c r="F90" s="44">
        <f>ROUND(0.3,7)</f>
        <v>0.3</v>
      </c>
      <c r="G90" s="44">
        <f>SmtRes!DO17*SmtRes!CX17</f>
        <v>1.8E-3</v>
      </c>
      <c r="H90" s="46"/>
      <c r="I90" s="45"/>
      <c r="J90" s="46">
        <f>ROUND(SmtRes!AG17/SmtRes!DO17, 2)</f>
        <v>435.27</v>
      </c>
      <c r="K90" s="45"/>
      <c r="L90" s="46">
        <f>SmtRes!DH17</f>
        <v>0.78</v>
      </c>
      <c r="CE90">
        <v>1</v>
      </c>
    </row>
    <row r="91" spans="1:83" ht="42.75" x14ac:dyDescent="0.2">
      <c r="A91" s="42"/>
      <c r="B91" s="42" t="s">
        <v>350</v>
      </c>
      <c r="C91" s="42" t="s">
        <v>352</v>
      </c>
      <c r="D91" s="43" t="s">
        <v>194</v>
      </c>
      <c r="E91" s="44">
        <v>0.16</v>
      </c>
      <c r="F91" s="44">
        <f>ROUND(0.3,7)</f>
        <v>0.3</v>
      </c>
      <c r="G91" s="44">
        <f>SmtRes!CX18</f>
        <v>2.8800000000000002E-3</v>
      </c>
      <c r="H91" s="46"/>
      <c r="I91" s="45"/>
      <c r="J91" s="46">
        <f>SmtRes!CZ18</f>
        <v>25.86</v>
      </c>
      <c r="K91" s="45"/>
      <c r="L91" s="46">
        <f>SmtRes!DG18</f>
        <v>7.0000000000000007E-2</v>
      </c>
    </row>
    <row r="92" spans="1:83" ht="15" x14ac:dyDescent="0.2">
      <c r="A92" s="41"/>
      <c r="B92" s="44">
        <v>4</v>
      </c>
      <c r="C92" s="41" t="s">
        <v>508</v>
      </c>
      <c r="D92" s="43"/>
      <c r="E92" s="49"/>
      <c r="F92" s="44"/>
      <c r="G92" s="49"/>
      <c r="H92" s="44"/>
      <c r="I92" s="44"/>
      <c r="J92" s="44"/>
      <c r="K92" s="44"/>
      <c r="L92" s="50">
        <f>SUM(L93:L95)-SUMIF(CE93:CE95, 1, L93:L95)</f>
        <v>0</v>
      </c>
    </row>
    <row r="93" spans="1:83" ht="42.75" hidden="1" x14ac:dyDescent="0.2">
      <c r="A93" s="42"/>
      <c r="B93" s="42" t="s">
        <v>353</v>
      </c>
      <c r="C93" s="42" t="s">
        <v>355</v>
      </c>
      <c r="D93" s="43" t="s">
        <v>356</v>
      </c>
      <c r="E93" s="44">
        <v>3.0000000000000001E-3</v>
      </c>
      <c r="F93" s="44">
        <f>ROUND(0,7)</f>
        <v>0</v>
      </c>
      <c r="G93" s="44">
        <f>SmtRes!CX19</f>
        <v>0</v>
      </c>
      <c r="H93" s="46">
        <f>SmtRes!CZ19</f>
        <v>70310.45</v>
      </c>
      <c r="I93" s="45">
        <f>SmtRes!AI19</f>
        <v>0.89</v>
      </c>
      <c r="J93" s="46">
        <f>ROUND(H93*I93, 2)</f>
        <v>62576.3</v>
      </c>
      <c r="K93" s="45"/>
      <c r="L93" s="46">
        <f>SmtRes!DF19</f>
        <v>0</v>
      </c>
    </row>
    <row r="94" spans="1:83" ht="28.5" hidden="1" x14ac:dyDescent="0.2">
      <c r="A94" s="42"/>
      <c r="B94" s="42" t="s">
        <v>357</v>
      </c>
      <c r="C94" s="42" t="s">
        <v>359</v>
      </c>
      <c r="D94" s="43" t="s">
        <v>176</v>
      </c>
      <c r="E94" s="44">
        <v>0.8</v>
      </c>
      <c r="F94" s="44">
        <f>ROUND(0,7)</f>
        <v>0</v>
      </c>
      <c r="G94" s="44">
        <f>SmtRes!CX20</f>
        <v>0</v>
      </c>
      <c r="H94" s="46">
        <f>SmtRes!CZ20</f>
        <v>79.88</v>
      </c>
      <c r="I94" s="45">
        <f>SmtRes!AI20</f>
        <v>1.31</v>
      </c>
      <c r="J94" s="46">
        <f>ROUND(H94*I94, 2)</f>
        <v>104.64</v>
      </c>
      <c r="K94" s="45"/>
      <c r="L94" s="46">
        <f>SmtRes!DF20</f>
        <v>0</v>
      </c>
    </row>
    <row r="95" spans="1:83" ht="28.5" hidden="1" x14ac:dyDescent="0.2">
      <c r="A95" s="42"/>
      <c r="B95" s="42" t="s">
        <v>360</v>
      </c>
      <c r="C95" s="60" t="s">
        <v>362</v>
      </c>
      <c r="D95" s="52" t="s">
        <v>38</v>
      </c>
      <c r="E95" s="54">
        <v>1.02</v>
      </c>
      <c r="F95" s="54">
        <f>ROUND(0,7)</f>
        <v>0</v>
      </c>
      <c r="G95" s="54">
        <f>SmtRes!CX21</f>
        <v>0</v>
      </c>
      <c r="H95" s="61">
        <f>SmtRes!CZ21</f>
        <v>896.51</v>
      </c>
      <c r="I95" s="62">
        <f>SmtRes!AI21</f>
        <v>1.04</v>
      </c>
      <c r="J95" s="61">
        <f>ROUND(H95*I95, 2)</f>
        <v>932.37</v>
      </c>
      <c r="K95" s="62"/>
      <c r="L95" s="61">
        <f>SmtRes!DF21</f>
        <v>0</v>
      </c>
    </row>
    <row r="96" spans="1:83" ht="15" x14ac:dyDescent="0.2">
      <c r="A96" s="42"/>
      <c r="B96" s="42"/>
      <c r="C96" s="58" t="s">
        <v>509</v>
      </c>
      <c r="D96" s="43"/>
      <c r="E96" s="44"/>
      <c r="F96" s="44"/>
      <c r="G96" s="44"/>
      <c r="H96" s="46"/>
      <c r="I96" s="45"/>
      <c r="J96" s="46"/>
      <c r="K96" s="45"/>
      <c r="L96" s="46">
        <f>L83+L85+L86+L92</f>
        <v>328.35</v>
      </c>
    </row>
    <row r="97" spans="1:83" ht="14.25" x14ac:dyDescent="0.2">
      <c r="A97" s="42"/>
      <c r="B97" s="42"/>
      <c r="C97" s="42" t="s">
        <v>510</v>
      </c>
      <c r="D97" s="43"/>
      <c r="E97" s="44"/>
      <c r="F97" s="44"/>
      <c r="G97" s="44"/>
      <c r="H97" s="46"/>
      <c r="I97" s="45"/>
      <c r="J97" s="46"/>
      <c r="K97" s="45"/>
      <c r="L97" s="46">
        <f>SUM(AR80:AR100)+SUM(AS80:AS100)+SUM(AT80:AT100)+SUM(AU80:AU100)+SUM(AV80:AV100)</f>
        <v>324.63</v>
      </c>
    </row>
    <row r="98" spans="1:83" ht="28.5" x14ac:dyDescent="0.2">
      <c r="A98" s="42"/>
      <c r="B98" s="42" t="s">
        <v>45</v>
      </c>
      <c r="C98" s="42" t="s">
        <v>517</v>
      </c>
      <c r="D98" s="43" t="s">
        <v>365</v>
      </c>
      <c r="E98" s="44">
        <f>Source!BZ29</f>
        <v>97</v>
      </c>
      <c r="F98" s="44"/>
      <c r="G98" s="44">
        <f>Source!AT29</f>
        <v>97</v>
      </c>
      <c r="H98" s="46"/>
      <c r="I98" s="45"/>
      <c r="J98" s="46"/>
      <c r="K98" s="45"/>
      <c r="L98" s="46">
        <f>SUM(AZ80:AZ100)</f>
        <v>314.89</v>
      </c>
    </row>
    <row r="99" spans="1:83" ht="28.5" x14ac:dyDescent="0.2">
      <c r="A99" s="60"/>
      <c r="B99" s="60" t="s">
        <v>46</v>
      </c>
      <c r="C99" s="60" t="s">
        <v>518</v>
      </c>
      <c r="D99" s="52" t="s">
        <v>365</v>
      </c>
      <c r="E99" s="54">
        <f>Source!CA29</f>
        <v>51</v>
      </c>
      <c r="F99" s="54"/>
      <c r="G99" s="54">
        <f>Source!AU29</f>
        <v>51</v>
      </c>
      <c r="H99" s="61"/>
      <c r="I99" s="62"/>
      <c r="J99" s="61"/>
      <c r="K99" s="62"/>
      <c r="L99" s="61">
        <f>SUM(BA80:BA100)</f>
        <v>165.56</v>
      </c>
    </row>
    <row r="100" spans="1:83" ht="15" x14ac:dyDescent="0.2">
      <c r="C100" s="113" t="s">
        <v>513</v>
      </c>
      <c r="D100" s="113"/>
      <c r="E100" s="113"/>
      <c r="F100" s="113"/>
      <c r="G100" s="113"/>
      <c r="H100" s="113"/>
      <c r="I100" s="114">
        <f>K100/E80</f>
        <v>13480.000000000002</v>
      </c>
      <c r="J100" s="114"/>
      <c r="K100" s="114">
        <f>L83+L85+L92+L98+L99+L86</f>
        <v>808.80000000000007</v>
      </c>
      <c r="L100" s="114"/>
      <c r="AD100">
        <f>ROUND((Source!AT29/100)*((ROUND(SUMIF(SmtRes!AQ14:'SmtRes'!AQ22,"=1",SmtRes!AD14:'SmtRes'!AD22)*Source!I29, 2)+ROUND(SUMIF(SmtRes!AQ14:'SmtRes'!AQ22,"=1",SmtRes!AC14:'SmtRes'!AC22)*Source!I29, 2))), 2)</f>
        <v>84.7</v>
      </c>
      <c r="AE100">
        <f>ROUND((Source!AU29/100)*((ROUND(SUMIF(SmtRes!AQ14:'SmtRes'!AQ22,"=1",SmtRes!AD14:'SmtRes'!AD22)*Source!I29, 2)+ROUND(SUMIF(SmtRes!AQ14:'SmtRes'!AQ22,"=1",SmtRes!AC14:'SmtRes'!AC22)*Source!I29, 2))), 2)</f>
        <v>44.53</v>
      </c>
      <c r="AN100" s="56">
        <f>L83+L85+L92+L98+L99+L86</f>
        <v>808.80000000000007</v>
      </c>
      <c r="AO100" s="56">
        <f>L85</f>
        <v>3.7199999999999998</v>
      </c>
      <c r="AQ100" t="s">
        <v>514</v>
      </c>
      <c r="AR100" s="56">
        <f>L83</f>
        <v>322.8</v>
      </c>
      <c r="AT100" s="56">
        <f>L86</f>
        <v>1.83</v>
      </c>
      <c r="AV100" t="s">
        <v>514</v>
      </c>
      <c r="AW100" s="56">
        <f>L92</f>
        <v>0</v>
      </c>
      <c r="AZ100">
        <f>Source!X29</f>
        <v>314.89</v>
      </c>
      <c r="BA100">
        <f>Source!Y29</f>
        <v>165.56</v>
      </c>
      <c r="CD100">
        <v>2</v>
      </c>
    </row>
    <row r="101" spans="1:83" ht="42.75" x14ac:dyDescent="0.2">
      <c r="A101" s="40" t="s">
        <v>47</v>
      </c>
      <c r="B101" s="42" t="s">
        <v>519</v>
      </c>
      <c r="C101" s="42" t="str">
        <f>Source!G30</f>
        <v>Снятие ответвлений ВЛ 0,38 кВ к зданиям при количестве проводов в ответвлении: 4</v>
      </c>
      <c r="D101" s="43" t="str">
        <f>Source!H30</f>
        <v>ответвление</v>
      </c>
      <c r="E101" s="44">
        <f>Source!K30</f>
        <v>8</v>
      </c>
      <c r="F101" s="44"/>
      <c r="G101" s="44">
        <f>Source!I30</f>
        <v>8</v>
      </c>
      <c r="H101" s="46"/>
      <c r="I101" s="45"/>
      <c r="J101" s="46"/>
      <c r="K101" s="45"/>
      <c r="L101" s="46"/>
    </row>
    <row r="102" spans="1:83" ht="15" x14ac:dyDescent="0.2">
      <c r="A102" s="41"/>
      <c r="B102" s="44">
        <v>1</v>
      </c>
      <c r="C102" s="41" t="s">
        <v>503</v>
      </c>
      <c r="D102" s="43" t="s">
        <v>324</v>
      </c>
      <c r="E102" s="49"/>
      <c r="F102" s="44"/>
      <c r="G102" s="49">
        <f>Source!U30</f>
        <v>8.24</v>
      </c>
      <c r="H102" s="44"/>
      <c r="I102" s="44"/>
      <c r="J102" s="44"/>
      <c r="K102" s="44"/>
      <c r="L102" s="50">
        <f>SUM(L103:L103)-SUMIF(CE103:CE103, 1, L103:L103)</f>
        <v>3051.35</v>
      </c>
    </row>
    <row r="103" spans="1:83" ht="28.5" x14ac:dyDescent="0.2">
      <c r="A103" s="42"/>
      <c r="B103" s="42" t="s">
        <v>366</v>
      </c>
      <c r="C103" s="42" t="s">
        <v>367</v>
      </c>
      <c r="D103" s="43" t="s">
        <v>324</v>
      </c>
      <c r="E103" s="44">
        <v>1.03</v>
      </c>
      <c r="F103" s="44"/>
      <c r="G103" s="44">
        <f>SmtRes!CX23</f>
        <v>8.24</v>
      </c>
      <c r="H103" s="46"/>
      <c r="I103" s="45"/>
      <c r="J103" s="46">
        <f>SmtRes!CZ23</f>
        <v>370.31</v>
      </c>
      <c r="K103" s="45"/>
      <c r="L103" s="46">
        <f>SmtRes!DI23</f>
        <v>3051.35</v>
      </c>
    </row>
    <row r="104" spans="1:83" ht="15" x14ac:dyDescent="0.2">
      <c r="A104" s="41"/>
      <c r="B104" s="44">
        <v>2</v>
      </c>
      <c r="C104" s="41" t="s">
        <v>504</v>
      </c>
      <c r="D104" s="43"/>
      <c r="E104" s="49"/>
      <c r="F104" s="44"/>
      <c r="G104" s="49"/>
      <c r="H104" s="44"/>
      <c r="I104" s="44"/>
      <c r="J104" s="44"/>
      <c r="K104" s="44"/>
      <c r="L104" s="50">
        <f>SUM(L105:L107)-SUMIF(CE105:CE107, 1, L105:L107)</f>
        <v>227.49</v>
      </c>
    </row>
    <row r="105" spans="1:83" ht="15" x14ac:dyDescent="0.2">
      <c r="A105" s="41"/>
      <c r="B105" s="44"/>
      <c r="C105" s="41" t="s">
        <v>507</v>
      </c>
      <c r="D105" s="43" t="s">
        <v>324</v>
      </c>
      <c r="E105" s="49"/>
      <c r="F105" s="44"/>
      <c r="G105" s="49">
        <f>Source!V30</f>
        <v>0.4</v>
      </c>
      <c r="H105" s="44"/>
      <c r="I105" s="44"/>
      <c r="J105" s="44"/>
      <c r="K105" s="44"/>
      <c r="L105" s="50">
        <f>SUMIF(CE106:CE107, 1, L106:L107)</f>
        <v>174.11</v>
      </c>
      <c r="CE105">
        <v>1</v>
      </c>
    </row>
    <row r="106" spans="1:83" ht="28.5" x14ac:dyDescent="0.2">
      <c r="A106" s="42"/>
      <c r="B106" s="42" t="s">
        <v>336</v>
      </c>
      <c r="C106" s="42" t="s">
        <v>338</v>
      </c>
      <c r="D106" s="43" t="s">
        <v>194</v>
      </c>
      <c r="E106" s="44">
        <v>0.05</v>
      </c>
      <c r="F106" s="44"/>
      <c r="G106" s="44">
        <f>SmtRes!CX25</f>
        <v>0.4</v>
      </c>
      <c r="H106" s="46">
        <f>SmtRes!CZ25</f>
        <v>477.92</v>
      </c>
      <c r="I106" s="45">
        <f>SmtRes!AJ25</f>
        <v>1.19</v>
      </c>
      <c r="J106" s="46">
        <f>ROUND(H106*I106, 2)</f>
        <v>568.72</v>
      </c>
      <c r="K106" s="45"/>
      <c r="L106" s="46">
        <f>SmtRes!DG25</f>
        <v>227.49</v>
      </c>
    </row>
    <row r="107" spans="1:83" ht="28.5" x14ac:dyDescent="0.2">
      <c r="A107" s="42"/>
      <c r="B107" s="42" t="s">
        <v>335</v>
      </c>
      <c r="C107" s="60" t="s">
        <v>506</v>
      </c>
      <c r="D107" s="52" t="s">
        <v>324</v>
      </c>
      <c r="E107" s="54">
        <f>SmtRes!DO25*SmtRes!AT25</f>
        <v>0.05</v>
      </c>
      <c r="F107" s="54"/>
      <c r="G107" s="54">
        <f>SmtRes!DO25*SmtRes!CX25</f>
        <v>0.4</v>
      </c>
      <c r="H107" s="61"/>
      <c r="I107" s="62"/>
      <c r="J107" s="61">
        <f>ROUND(SmtRes!AG25/SmtRes!DO25, 2)</f>
        <v>435.27</v>
      </c>
      <c r="K107" s="62"/>
      <c r="L107" s="61">
        <f>SmtRes!DH25</f>
        <v>174.11</v>
      </c>
      <c r="CE107">
        <v>1</v>
      </c>
    </row>
    <row r="108" spans="1:83" ht="15" x14ac:dyDescent="0.2">
      <c r="A108" s="42"/>
      <c r="B108" s="42"/>
      <c r="C108" s="58" t="s">
        <v>509</v>
      </c>
      <c r="D108" s="43"/>
      <c r="E108" s="44"/>
      <c r="F108" s="44"/>
      <c r="G108" s="44"/>
      <c r="H108" s="46"/>
      <c r="I108" s="45"/>
      <c r="J108" s="46"/>
      <c r="K108" s="45"/>
      <c r="L108" s="46">
        <f>L102+L104+L105</f>
        <v>3452.9500000000003</v>
      </c>
    </row>
    <row r="109" spans="1:83" ht="14.25" x14ac:dyDescent="0.2">
      <c r="A109" s="42"/>
      <c r="B109" s="42"/>
      <c r="C109" s="42" t="s">
        <v>510</v>
      </c>
      <c r="D109" s="43"/>
      <c r="E109" s="44"/>
      <c r="F109" s="44"/>
      <c r="G109" s="44"/>
      <c r="H109" s="46"/>
      <c r="I109" s="45"/>
      <c r="J109" s="46"/>
      <c r="K109" s="45"/>
      <c r="L109" s="46">
        <f>SUM(AR101:AR112)+SUM(AS101:AS112)+SUM(AT101:AT112)+SUM(AU101:AU112)+SUM(AV101:AV112)</f>
        <v>3225.46</v>
      </c>
    </row>
    <row r="110" spans="1:83" ht="14.25" x14ac:dyDescent="0.2">
      <c r="A110" s="42"/>
      <c r="B110" s="42" t="s">
        <v>33</v>
      </c>
      <c r="C110" s="42" t="s">
        <v>511</v>
      </c>
      <c r="D110" s="43" t="s">
        <v>365</v>
      </c>
      <c r="E110" s="44">
        <f>Source!BZ30</f>
        <v>103</v>
      </c>
      <c r="F110" s="44"/>
      <c r="G110" s="44">
        <f>Source!AT30</f>
        <v>103</v>
      </c>
      <c r="H110" s="46"/>
      <c r="I110" s="45"/>
      <c r="J110" s="46"/>
      <c r="K110" s="45"/>
      <c r="L110" s="46">
        <f>SUM(AZ101:AZ112)</f>
        <v>3322.22</v>
      </c>
    </row>
    <row r="111" spans="1:83" ht="14.25" x14ac:dyDescent="0.2">
      <c r="A111" s="60"/>
      <c r="B111" s="60" t="s">
        <v>34</v>
      </c>
      <c r="C111" s="60" t="s">
        <v>512</v>
      </c>
      <c r="D111" s="52" t="s">
        <v>365</v>
      </c>
      <c r="E111" s="54">
        <f>Source!CA30</f>
        <v>60</v>
      </c>
      <c r="F111" s="54"/>
      <c r="G111" s="54">
        <f>Source!AU30</f>
        <v>60</v>
      </c>
      <c r="H111" s="61"/>
      <c r="I111" s="62"/>
      <c r="J111" s="61"/>
      <c r="K111" s="62"/>
      <c r="L111" s="61">
        <f>SUM(BA101:BA112)</f>
        <v>1935.28</v>
      </c>
    </row>
    <row r="112" spans="1:83" ht="15" x14ac:dyDescent="0.2">
      <c r="C112" s="113" t="s">
        <v>513</v>
      </c>
      <c r="D112" s="113"/>
      <c r="E112" s="113"/>
      <c r="F112" s="113"/>
      <c r="G112" s="113"/>
      <c r="H112" s="113"/>
      <c r="I112" s="114">
        <f>K112/E101</f>
        <v>1088.8062500000001</v>
      </c>
      <c r="J112" s="114"/>
      <c r="K112" s="114">
        <f>L102+L104+L110+L111+L105</f>
        <v>8710.4500000000007</v>
      </c>
      <c r="L112" s="114"/>
      <c r="AD112">
        <f>ROUND((Source!AT30/100)*((ROUND(SUMIF(SmtRes!AQ23:'SmtRes'!AQ25,"=1",SmtRes!AD23:'SmtRes'!AD25)*Source!I30, 2)+ROUND(SUMIF(SmtRes!AQ23:'SmtRes'!AQ25,"=1",SmtRes!AC23:'SmtRes'!AC25)*Source!I30, 2))), 2)</f>
        <v>6637.98</v>
      </c>
      <c r="AE112">
        <f>ROUND((Source!AU30/100)*((ROUND(SUMIF(SmtRes!AQ23:'SmtRes'!AQ25,"=1",SmtRes!AD23:'SmtRes'!AD25)*Source!I30, 2)+ROUND(SUMIF(SmtRes!AQ23:'SmtRes'!AQ25,"=1",SmtRes!AC23:'SmtRes'!AC25)*Source!I30, 2))), 2)</f>
        <v>3866.78</v>
      </c>
      <c r="AN112" s="56">
        <f>L102+L104+L110+L111+L105</f>
        <v>8710.4500000000007</v>
      </c>
      <c r="AO112" s="56">
        <f>L104</f>
        <v>227.49</v>
      </c>
      <c r="AQ112" t="s">
        <v>514</v>
      </c>
      <c r="AR112" s="56">
        <f>L102</f>
        <v>3051.35</v>
      </c>
      <c r="AT112" s="56">
        <f>L105</f>
        <v>174.11</v>
      </c>
      <c r="AV112" t="s">
        <v>514</v>
      </c>
      <c r="AW112">
        <f>0</f>
        <v>0</v>
      </c>
      <c r="AZ112">
        <f>Source!X30</f>
        <v>3322.22</v>
      </c>
      <c r="BA112">
        <f>Source!Y30</f>
        <v>1935.28</v>
      </c>
      <c r="CD112">
        <v>1</v>
      </c>
    </row>
    <row r="114" spans="1:12" ht="15" x14ac:dyDescent="0.2">
      <c r="A114" s="65"/>
      <c r="B114" s="66"/>
      <c r="C114" s="115" t="s">
        <v>520</v>
      </c>
      <c r="D114" s="115"/>
      <c r="E114" s="115"/>
      <c r="F114" s="115"/>
      <c r="G114" s="115"/>
      <c r="H114" s="115"/>
      <c r="I114" s="50"/>
      <c r="J114" s="65"/>
      <c r="K114" s="67"/>
      <c r="L114" s="50">
        <f>L116+L117+L123+L127</f>
        <v>7775.25</v>
      </c>
    </row>
    <row r="115" spans="1:12" ht="14.25" x14ac:dyDescent="0.2">
      <c r="A115" s="59"/>
      <c r="B115" s="64"/>
      <c r="C115" s="116" t="s">
        <v>521</v>
      </c>
      <c r="D115" s="117"/>
      <c r="E115" s="117"/>
      <c r="F115" s="117"/>
      <c r="G115" s="117"/>
      <c r="H115" s="117"/>
      <c r="I115" s="46"/>
      <c r="J115" s="59"/>
      <c r="K115" s="44"/>
      <c r="L115" s="46"/>
    </row>
    <row r="116" spans="1:12" ht="14.25" x14ac:dyDescent="0.2">
      <c r="A116" s="59"/>
      <c r="B116" s="64"/>
      <c r="C116" s="117" t="s">
        <v>522</v>
      </c>
      <c r="D116" s="117"/>
      <c r="E116" s="117"/>
      <c r="F116" s="117"/>
      <c r="G116" s="117"/>
      <c r="H116" s="117"/>
      <c r="I116" s="46"/>
      <c r="J116" s="59"/>
      <c r="K116" s="44"/>
      <c r="L116" s="46">
        <f>SUM(AR54:AR112)</f>
        <v>5928.17</v>
      </c>
    </row>
    <row r="117" spans="1:12" ht="14.25" hidden="1" x14ac:dyDescent="0.2">
      <c r="A117" s="59"/>
      <c r="B117" s="64"/>
      <c r="C117" s="117" t="s">
        <v>523</v>
      </c>
      <c r="D117" s="117"/>
      <c r="E117" s="117"/>
      <c r="F117" s="117"/>
      <c r="G117" s="117"/>
      <c r="H117" s="117"/>
      <c r="I117" s="46"/>
      <c r="J117" s="59"/>
      <c r="K117" s="44"/>
      <c r="L117" s="46">
        <f>L119+L122+L121</f>
        <v>1847.08</v>
      </c>
    </row>
    <row r="118" spans="1:12" ht="14.25" hidden="1" x14ac:dyDescent="0.2">
      <c r="A118" s="59"/>
      <c r="B118" s="64"/>
      <c r="C118" s="116" t="s">
        <v>524</v>
      </c>
      <c r="D118" s="117"/>
      <c r="E118" s="117"/>
      <c r="F118" s="117"/>
      <c r="G118" s="117"/>
      <c r="H118" s="117"/>
      <c r="I118" s="46"/>
      <c r="J118" s="59"/>
      <c r="K118" s="44"/>
      <c r="L118" s="46"/>
    </row>
    <row r="119" spans="1:12" ht="14.25" x14ac:dyDescent="0.2">
      <c r="A119" s="59"/>
      <c r="B119" s="64"/>
      <c r="C119" s="117" t="s">
        <v>523</v>
      </c>
      <c r="D119" s="117"/>
      <c r="E119" s="117"/>
      <c r="F119" s="117"/>
      <c r="G119" s="117"/>
      <c r="H119" s="117"/>
      <c r="I119" s="46"/>
      <c r="J119" s="59"/>
      <c r="K119" s="44"/>
      <c r="L119" s="46">
        <f>SUM(AO54:AO112)</f>
        <v>981.53999999999974</v>
      </c>
    </row>
    <row r="120" spans="1:12" ht="14.25" hidden="1" x14ac:dyDescent="0.2">
      <c r="A120" s="59"/>
      <c r="B120" s="64"/>
      <c r="C120" s="116" t="s">
        <v>525</v>
      </c>
      <c r="D120" s="117"/>
      <c r="E120" s="117"/>
      <c r="F120" s="117"/>
      <c r="G120" s="117"/>
      <c r="H120" s="117"/>
      <c r="I120" s="46"/>
      <c r="J120" s="59"/>
      <c r="K120" s="44"/>
      <c r="L120" s="46"/>
    </row>
    <row r="121" spans="1:12" ht="14.25" x14ac:dyDescent="0.2">
      <c r="A121" s="59"/>
      <c r="B121" s="64"/>
      <c r="C121" s="117" t="s">
        <v>545</v>
      </c>
      <c r="D121" s="117"/>
      <c r="E121" s="117"/>
      <c r="F121" s="117"/>
      <c r="G121" s="117"/>
      <c r="H121" s="117"/>
      <c r="I121" s="46"/>
      <c r="J121" s="59"/>
      <c r="K121" s="44"/>
      <c r="L121" s="46">
        <f>SUM(AT54:AT112)</f>
        <v>865.54000000000008</v>
      </c>
    </row>
    <row r="122" spans="1:12" ht="14.25" hidden="1" x14ac:dyDescent="0.2">
      <c r="A122" s="59"/>
      <c r="B122" s="64"/>
      <c r="C122" s="117" t="s">
        <v>526</v>
      </c>
      <c r="D122" s="117"/>
      <c r="E122" s="117"/>
      <c r="F122" s="117"/>
      <c r="G122" s="117"/>
      <c r="H122" s="117"/>
      <c r="I122" s="46"/>
      <c r="J122" s="59"/>
      <c r="K122" s="44"/>
      <c r="L122" s="46">
        <f>SUM(AV54:AV112)</f>
        <v>0</v>
      </c>
    </row>
    <row r="123" spans="1:12" ht="14.25" hidden="1" x14ac:dyDescent="0.2">
      <c r="A123" s="59"/>
      <c r="B123" s="64"/>
      <c r="C123" s="117" t="s">
        <v>527</v>
      </c>
      <c r="D123" s="117"/>
      <c r="E123" s="117"/>
      <c r="F123" s="117"/>
      <c r="G123" s="117"/>
      <c r="H123" s="117"/>
      <c r="I123" s="46"/>
      <c r="J123" s="59"/>
      <c r="K123" s="44"/>
      <c r="L123" s="46">
        <f>L125+L126</f>
        <v>0</v>
      </c>
    </row>
    <row r="124" spans="1:12" ht="14.25" hidden="1" x14ac:dyDescent="0.2">
      <c r="A124" s="59"/>
      <c r="B124" s="64"/>
      <c r="C124" s="116" t="s">
        <v>524</v>
      </c>
      <c r="D124" s="117"/>
      <c r="E124" s="117"/>
      <c r="F124" s="117"/>
      <c r="G124" s="117"/>
      <c r="H124" s="117"/>
      <c r="I124" s="46"/>
      <c r="J124" s="59"/>
      <c r="K124" s="44"/>
      <c r="L124" s="46"/>
    </row>
    <row r="125" spans="1:12" ht="14.25" hidden="1" x14ac:dyDescent="0.2">
      <c r="A125" s="59"/>
      <c r="B125" s="64"/>
      <c r="C125" s="117" t="s">
        <v>528</v>
      </c>
      <c r="D125" s="117"/>
      <c r="E125" s="117"/>
      <c r="F125" s="117"/>
      <c r="G125" s="117"/>
      <c r="H125" s="117"/>
      <c r="I125" s="46"/>
      <c r="J125" s="59"/>
      <c r="K125" s="44"/>
      <c r="L125" s="46">
        <f>SUM(AW54:AW112)-SUM(BK54:BK112)</f>
        <v>0</v>
      </c>
    </row>
    <row r="126" spans="1:12" ht="14.25" hidden="1" x14ac:dyDescent="0.2">
      <c r="A126" s="59"/>
      <c r="B126" s="64"/>
      <c r="C126" s="117" t="s">
        <v>529</v>
      </c>
      <c r="D126" s="117"/>
      <c r="E126" s="117"/>
      <c r="F126" s="117"/>
      <c r="G126" s="117"/>
      <c r="H126" s="117"/>
      <c r="I126" s="46"/>
      <c r="J126" s="59"/>
      <c r="K126" s="44"/>
      <c r="L126" s="46">
        <f>SUM(BC54:BC112)</f>
        <v>0</v>
      </c>
    </row>
    <row r="127" spans="1:12" ht="14.25" hidden="1" x14ac:dyDescent="0.2">
      <c r="A127" s="59"/>
      <c r="B127" s="64"/>
      <c r="C127" s="117" t="s">
        <v>530</v>
      </c>
      <c r="D127" s="117"/>
      <c r="E127" s="117"/>
      <c r="F127" s="117"/>
      <c r="G127" s="117"/>
      <c r="H127" s="117"/>
      <c r="I127" s="46"/>
      <c r="J127" s="59"/>
      <c r="K127" s="44"/>
      <c r="L127" s="46">
        <f>SUM(BB54:BB112)</f>
        <v>0</v>
      </c>
    </row>
    <row r="128" spans="1:12" ht="14.25" x14ac:dyDescent="0.2">
      <c r="A128" s="59"/>
      <c r="B128" s="64"/>
      <c r="C128" s="117" t="s">
        <v>531</v>
      </c>
      <c r="D128" s="117"/>
      <c r="E128" s="117"/>
      <c r="F128" s="117"/>
      <c r="G128" s="117"/>
      <c r="H128" s="117"/>
      <c r="I128" s="46"/>
      <c r="J128" s="59"/>
      <c r="K128" s="44"/>
      <c r="L128" s="46">
        <f>SUM(AR54:AR112)+SUM(AT54:AT112)+SUM(AV54:AV112)</f>
        <v>6793.71</v>
      </c>
    </row>
    <row r="129" spans="1:12" ht="14.25" x14ac:dyDescent="0.2">
      <c r="A129" s="59"/>
      <c r="B129" s="64"/>
      <c r="C129" s="117" t="s">
        <v>532</v>
      </c>
      <c r="D129" s="117"/>
      <c r="E129" s="117"/>
      <c r="F129" s="117"/>
      <c r="G129" s="117"/>
      <c r="H129" s="117"/>
      <c r="I129" s="46"/>
      <c r="J129" s="59"/>
      <c r="K129" s="44"/>
      <c r="L129" s="46">
        <f>SUM(AZ54:AZ112)</f>
        <v>6978.0399999999991</v>
      </c>
    </row>
    <row r="130" spans="1:12" ht="14.25" x14ac:dyDescent="0.2">
      <c r="A130" s="59"/>
      <c r="B130" s="64"/>
      <c r="C130" s="117" t="s">
        <v>533</v>
      </c>
      <c r="D130" s="117"/>
      <c r="E130" s="117"/>
      <c r="F130" s="117"/>
      <c r="G130" s="117"/>
      <c r="H130" s="117"/>
      <c r="I130" s="46"/>
      <c r="J130" s="59"/>
      <c r="K130" s="44"/>
      <c r="L130" s="46">
        <f>SUM(BA54:BA112)</f>
        <v>4047.01</v>
      </c>
    </row>
    <row r="131" spans="1:12" ht="14.25" hidden="1" x14ac:dyDescent="0.2">
      <c r="A131" s="59"/>
      <c r="B131" s="64"/>
      <c r="C131" s="117" t="s">
        <v>534</v>
      </c>
      <c r="D131" s="117"/>
      <c r="E131" s="117"/>
      <c r="F131" s="117"/>
      <c r="G131" s="117"/>
      <c r="H131" s="117"/>
      <c r="I131" s="46"/>
      <c r="J131" s="59"/>
      <c r="K131" s="44"/>
      <c r="L131" s="46">
        <f>L133+L134</f>
        <v>0</v>
      </c>
    </row>
    <row r="132" spans="1:12" ht="14.25" hidden="1" x14ac:dyDescent="0.2">
      <c r="A132" s="59"/>
      <c r="B132" s="64"/>
      <c r="C132" s="116" t="s">
        <v>521</v>
      </c>
      <c r="D132" s="117"/>
      <c r="E132" s="117"/>
      <c r="F132" s="117"/>
      <c r="G132" s="117"/>
      <c r="H132" s="117"/>
      <c r="I132" s="46"/>
      <c r="J132" s="59"/>
      <c r="K132" s="44"/>
      <c r="L132" s="46"/>
    </row>
    <row r="133" spans="1:12" ht="14.25" hidden="1" x14ac:dyDescent="0.2">
      <c r="A133" s="59"/>
      <c r="B133" s="64"/>
      <c r="C133" s="117" t="s">
        <v>535</v>
      </c>
      <c r="D133" s="117"/>
      <c r="E133" s="117"/>
      <c r="F133" s="117"/>
      <c r="G133" s="117"/>
      <c r="H133" s="117"/>
      <c r="I133" s="46"/>
      <c r="J133" s="59"/>
      <c r="K133" s="44"/>
      <c r="L133" s="46">
        <f>SUM(BK54:BK112)</f>
        <v>0</v>
      </c>
    </row>
    <row r="134" spans="1:12" ht="14.25" hidden="1" x14ac:dyDescent="0.2">
      <c r="A134" s="59"/>
      <c r="B134" s="64"/>
      <c r="C134" s="117" t="s">
        <v>536</v>
      </c>
      <c r="D134" s="117"/>
      <c r="E134" s="117"/>
      <c r="F134" s="117"/>
      <c r="G134" s="117"/>
      <c r="H134" s="117"/>
      <c r="I134" s="46"/>
      <c r="J134" s="59"/>
      <c r="K134" s="44"/>
      <c r="L134" s="46">
        <f>SUM(BD54:BD112)</f>
        <v>0</v>
      </c>
    </row>
    <row r="135" spans="1:12" ht="14.25" hidden="1" x14ac:dyDescent="0.2">
      <c r="A135" s="59"/>
      <c r="B135" s="64"/>
      <c r="C135" s="117" t="s">
        <v>537</v>
      </c>
      <c r="D135" s="117"/>
      <c r="E135" s="117"/>
      <c r="F135" s="117"/>
      <c r="G135" s="117"/>
      <c r="H135" s="117"/>
      <c r="I135" s="46"/>
      <c r="J135" s="59"/>
      <c r="K135" s="44"/>
      <c r="L135" s="46"/>
    </row>
    <row r="136" spans="1:12" ht="14.25" hidden="1" x14ac:dyDescent="0.2">
      <c r="A136" s="59"/>
      <c r="B136" s="64"/>
      <c r="C136" s="117" t="s">
        <v>538</v>
      </c>
      <c r="D136" s="117"/>
      <c r="E136" s="117"/>
      <c r="F136" s="117"/>
      <c r="G136" s="117"/>
      <c r="H136" s="117"/>
      <c r="I136" s="46"/>
      <c r="J136" s="59"/>
      <c r="K136" s="44"/>
      <c r="L136" s="46">
        <f>SUM(BO54:BO112)</f>
        <v>0</v>
      </c>
    </row>
    <row r="137" spans="1:12" ht="15" x14ac:dyDescent="0.2">
      <c r="A137" s="65"/>
      <c r="B137" s="66"/>
      <c r="C137" s="115" t="s">
        <v>539</v>
      </c>
      <c r="D137" s="115"/>
      <c r="E137" s="115"/>
      <c r="F137" s="115"/>
      <c r="G137" s="115"/>
      <c r="H137" s="115"/>
      <c r="I137" s="50"/>
      <c r="J137" s="65"/>
      <c r="K137" s="67"/>
      <c r="L137" s="50">
        <f>L114+L129+L130+L131+L135+L136</f>
        <v>18800.3</v>
      </c>
    </row>
    <row r="138" spans="1:12" ht="14.25" x14ac:dyDescent="0.2">
      <c r="A138" s="59"/>
      <c r="B138" s="64"/>
      <c r="C138" s="116" t="s">
        <v>540</v>
      </c>
      <c r="D138" s="117"/>
      <c r="E138" s="117"/>
      <c r="F138" s="117"/>
      <c r="G138" s="117"/>
      <c r="H138" s="117"/>
      <c r="I138" s="46"/>
      <c r="J138" s="59"/>
      <c r="K138" s="44"/>
      <c r="L138" s="46"/>
    </row>
    <row r="139" spans="1:12" ht="14.25" hidden="1" x14ac:dyDescent="0.2">
      <c r="A139" s="59"/>
      <c r="B139" s="64"/>
      <c r="C139" s="117" t="s">
        <v>541</v>
      </c>
      <c r="D139" s="117"/>
      <c r="E139" s="117"/>
      <c r="F139" s="117"/>
      <c r="G139" s="117"/>
      <c r="H139" s="117"/>
      <c r="I139" s="46"/>
      <c r="J139" s="59"/>
      <c r="K139" s="44"/>
      <c r="L139" s="46">
        <f>SUM(AX54:AX112)</f>
        <v>0</v>
      </c>
    </row>
    <row r="140" spans="1:12" ht="14.25" hidden="1" x14ac:dyDescent="0.2">
      <c r="A140" s="59"/>
      <c r="B140" s="64"/>
      <c r="C140" s="117" t="s">
        <v>542</v>
      </c>
      <c r="D140" s="117"/>
      <c r="E140" s="117"/>
      <c r="F140" s="117"/>
      <c r="G140" s="117"/>
      <c r="H140" s="117"/>
      <c r="I140" s="46"/>
      <c r="J140" s="59"/>
      <c r="K140" s="44"/>
      <c r="L140" s="46">
        <f>SUM(AY54:AY112)</f>
        <v>0</v>
      </c>
    </row>
    <row r="141" spans="1:12" ht="14.25" x14ac:dyDescent="0.2">
      <c r="A141" s="59"/>
      <c r="B141" s="64"/>
      <c r="C141" s="117" t="s">
        <v>543</v>
      </c>
      <c r="D141" s="117"/>
      <c r="E141" s="117"/>
      <c r="F141" s="119"/>
      <c r="G141" s="49">
        <f>Source!F54</f>
        <v>14.974159999999999</v>
      </c>
      <c r="H141" s="59"/>
      <c r="I141" s="59"/>
      <c r="J141" s="59"/>
      <c r="K141" s="59"/>
      <c r="L141" s="59"/>
    </row>
    <row r="142" spans="1:12" ht="14.25" x14ac:dyDescent="0.2">
      <c r="A142" s="59"/>
      <c r="B142" s="64"/>
      <c r="C142" s="117" t="s">
        <v>544</v>
      </c>
      <c r="D142" s="117"/>
      <c r="E142" s="117"/>
      <c r="F142" s="119"/>
      <c r="G142" s="49">
        <f>Source!F55</f>
        <v>1.97167</v>
      </c>
      <c r="H142" s="59"/>
      <c r="I142" s="59"/>
      <c r="J142" s="59"/>
      <c r="K142" s="59"/>
      <c r="L142" s="59"/>
    </row>
    <row r="145" spans="1:83" ht="16.5" x14ac:dyDescent="0.2">
      <c r="A145" s="118" t="s">
        <v>546</v>
      </c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</row>
    <row r="146" spans="1:83" ht="57" x14ac:dyDescent="0.2">
      <c r="A146" s="40" t="s">
        <v>106</v>
      </c>
      <c r="B146" s="42" t="s">
        <v>501</v>
      </c>
      <c r="C146" s="42" t="str">
        <f>Source!G66</f>
        <v>Подвеска провода СИП-2 напряжением от 0,4 кВ до 1 кВ на опорах, при 32 опорах на км линии: с использованием автогидроподъемника</v>
      </c>
      <c r="D146" s="43" t="str">
        <f>Source!H66</f>
        <v>1000 м</v>
      </c>
      <c r="E146" s="44">
        <f>Source!K66</f>
        <v>0.21</v>
      </c>
      <c r="F146" s="44"/>
      <c r="G146" s="44">
        <f>Source!I66</f>
        <v>0.21</v>
      </c>
      <c r="H146" s="46"/>
      <c r="I146" s="45"/>
      <c r="J146" s="46"/>
      <c r="K146" s="45"/>
      <c r="L146" s="46"/>
    </row>
    <row r="147" spans="1:83" x14ac:dyDescent="0.2">
      <c r="C147" s="48" t="str">
        <f>"Объем: "&amp;Source!I66&amp;"=210/"&amp;"1000"</f>
        <v>Объем: 0,21=210/1000</v>
      </c>
    </row>
    <row r="148" spans="1:83" ht="15" x14ac:dyDescent="0.2">
      <c r="A148" s="41"/>
      <c r="B148" s="44">
        <v>1</v>
      </c>
      <c r="C148" s="41" t="s">
        <v>503</v>
      </c>
      <c r="D148" s="43" t="s">
        <v>324</v>
      </c>
      <c r="E148" s="49"/>
      <c r="F148" s="44"/>
      <c r="G148" s="49">
        <f>Source!U66</f>
        <v>19.975199999999997</v>
      </c>
      <c r="H148" s="44"/>
      <c r="I148" s="44"/>
      <c r="J148" s="44"/>
      <c r="K148" s="44"/>
      <c r="L148" s="50">
        <f>SUM(L149:L152)-SUMIF(CE149:CE152, 1, L149:L152)</f>
        <v>8513.42</v>
      </c>
    </row>
    <row r="149" spans="1:83" ht="14.25" x14ac:dyDescent="0.2">
      <c r="A149" s="42"/>
      <c r="B149" s="42" t="s">
        <v>313</v>
      </c>
      <c r="C149" s="42" t="s">
        <v>314</v>
      </c>
      <c r="D149" s="43" t="s">
        <v>315</v>
      </c>
      <c r="E149" s="44">
        <v>0.99</v>
      </c>
      <c r="F149" s="44"/>
      <c r="G149" s="44">
        <f>SmtRes!CX26</f>
        <v>0.2079</v>
      </c>
      <c r="H149" s="46"/>
      <c r="I149" s="45"/>
      <c r="J149" s="46">
        <f>SmtRes!CZ26</f>
        <v>354.06</v>
      </c>
      <c r="K149" s="45"/>
      <c r="L149" s="46">
        <f>SmtRes!DI26</f>
        <v>73.61</v>
      </c>
    </row>
    <row r="150" spans="1:83" ht="14.25" x14ac:dyDescent="0.2">
      <c r="A150" s="42"/>
      <c r="B150" s="42" t="s">
        <v>316</v>
      </c>
      <c r="C150" s="42" t="s">
        <v>317</v>
      </c>
      <c r="D150" s="43" t="s">
        <v>315</v>
      </c>
      <c r="E150" s="44">
        <v>47.29</v>
      </c>
      <c r="F150" s="44"/>
      <c r="G150" s="44">
        <f>SmtRes!CX27</f>
        <v>9.9308999999999994</v>
      </c>
      <c r="H150" s="46"/>
      <c r="I150" s="45"/>
      <c r="J150" s="46">
        <f>SmtRes!CZ27</f>
        <v>386.55</v>
      </c>
      <c r="K150" s="45"/>
      <c r="L150" s="46">
        <f>SmtRes!DI27</f>
        <v>3838.79</v>
      </c>
    </row>
    <row r="151" spans="1:83" ht="14.25" x14ac:dyDescent="0.2">
      <c r="A151" s="42"/>
      <c r="B151" s="42" t="s">
        <v>318</v>
      </c>
      <c r="C151" s="42" t="s">
        <v>319</v>
      </c>
      <c r="D151" s="43" t="s">
        <v>315</v>
      </c>
      <c r="E151" s="44">
        <v>23.42</v>
      </c>
      <c r="F151" s="44"/>
      <c r="G151" s="44">
        <f>SmtRes!CX28</f>
        <v>4.9181999999999997</v>
      </c>
      <c r="H151" s="46"/>
      <c r="I151" s="45"/>
      <c r="J151" s="46">
        <f>SmtRes!CZ28</f>
        <v>435.27</v>
      </c>
      <c r="K151" s="45"/>
      <c r="L151" s="46">
        <f>SmtRes!DI28</f>
        <v>2140.7399999999998</v>
      </c>
    </row>
    <row r="152" spans="1:83" ht="14.25" x14ac:dyDescent="0.2">
      <c r="A152" s="42"/>
      <c r="B152" s="42" t="s">
        <v>320</v>
      </c>
      <c r="C152" s="42" t="s">
        <v>321</v>
      </c>
      <c r="D152" s="43" t="s">
        <v>315</v>
      </c>
      <c r="E152" s="44">
        <v>23.42</v>
      </c>
      <c r="F152" s="44"/>
      <c r="G152" s="44">
        <f>SmtRes!CX29</f>
        <v>4.9181999999999997</v>
      </c>
      <c r="H152" s="46"/>
      <c r="I152" s="45"/>
      <c r="J152" s="46">
        <f>SmtRes!CZ29</f>
        <v>500.24</v>
      </c>
      <c r="K152" s="45"/>
      <c r="L152" s="46">
        <f>SmtRes!DI29</f>
        <v>2460.2800000000002</v>
      </c>
    </row>
    <row r="153" spans="1:83" ht="15" x14ac:dyDescent="0.2">
      <c r="A153" s="41"/>
      <c r="B153" s="44">
        <v>2</v>
      </c>
      <c r="C153" s="41" t="s">
        <v>504</v>
      </c>
      <c r="D153" s="43"/>
      <c r="E153" s="49"/>
      <c r="F153" s="44"/>
      <c r="G153" s="49"/>
      <c r="H153" s="44"/>
      <c r="I153" s="44"/>
      <c r="J153" s="44"/>
      <c r="K153" s="44"/>
      <c r="L153" s="50">
        <f>SUM(L154:L163)-SUMIF(CE154:CE163, 1, L154:L163)</f>
        <v>2501.0800000000008</v>
      </c>
    </row>
    <row r="154" spans="1:83" ht="15" x14ac:dyDescent="0.2">
      <c r="A154" s="41"/>
      <c r="B154" s="44"/>
      <c r="C154" s="41" t="s">
        <v>507</v>
      </c>
      <c r="D154" s="43" t="s">
        <v>324</v>
      </c>
      <c r="E154" s="49"/>
      <c r="F154" s="44"/>
      <c r="G154" s="49">
        <f>Source!V66</f>
        <v>5.2268999999999997</v>
      </c>
      <c r="H154" s="44"/>
      <c r="I154" s="44"/>
      <c r="J154" s="44"/>
      <c r="K154" s="44"/>
      <c r="L154" s="50">
        <f>SUMIF(CE155:CE163, 1, L155:L163)</f>
        <v>2298.65</v>
      </c>
      <c r="CE154">
        <v>1</v>
      </c>
    </row>
    <row r="155" spans="1:83" ht="28.5" x14ac:dyDescent="0.2">
      <c r="A155" s="42"/>
      <c r="B155" s="42" t="s">
        <v>325</v>
      </c>
      <c r="C155" s="42" t="s">
        <v>327</v>
      </c>
      <c r="D155" s="43" t="s">
        <v>194</v>
      </c>
      <c r="E155" s="44">
        <v>0.75</v>
      </c>
      <c r="F155" s="44"/>
      <c r="G155" s="44">
        <f>SmtRes!CX31</f>
        <v>0.1575</v>
      </c>
      <c r="H155" s="46"/>
      <c r="I155" s="45"/>
      <c r="J155" s="46">
        <f>SmtRes!CZ31</f>
        <v>1459.82</v>
      </c>
      <c r="K155" s="45"/>
      <c r="L155" s="46">
        <f>SmtRes!DG31</f>
        <v>229.92</v>
      </c>
    </row>
    <row r="156" spans="1:83" ht="28.5" x14ac:dyDescent="0.2">
      <c r="A156" s="42"/>
      <c r="B156" s="42" t="s">
        <v>328</v>
      </c>
      <c r="C156" s="42" t="s">
        <v>505</v>
      </c>
      <c r="D156" s="43" t="s">
        <v>324</v>
      </c>
      <c r="E156" s="44">
        <f>SmtRes!DO31*SmtRes!AT31</f>
        <v>0.75</v>
      </c>
      <c r="F156" s="44"/>
      <c r="G156" s="44">
        <f>SmtRes!DO31*SmtRes!CX31</f>
        <v>0.1575</v>
      </c>
      <c r="H156" s="46"/>
      <c r="I156" s="45"/>
      <c r="J156" s="46">
        <f>ROUND(SmtRes!AG31/SmtRes!DO31, 2)</f>
        <v>584.69000000000005</v>
      </c>
      <c r="K156" s="45"/>
      <c r="L156" s="46">
        <f>SmtRes!DH31</f>
        <v>92.09</v>
      </c>
      <c r="CE156">
        <v>1</v>
      </c>
    </row>
    <row r="157" spans="1:83" ht="28.5" x14ac:dyDescent="0.2">
      <c r="A157" s="42"/>
      <c r="B157" s="42" t="s">
        <v>329</v>
      </c>
      <c r="C157" s="42" t="s">
        <v>331</v>
      </c>
      <c r="D157" s="43" t="s">
        <v>194</v>
      </c>
      <c r="E157" s="44">
        <v>0.81</v>
      </c>
      <c r="F157" s="44"/>
      <c r="G157" s="44">
        <f>SmtRes!CX32</f>
        <v>0.1701</v>
      </c>
      <c r="H157" s="46"/>
      <c r="I157" s="45"/>
      <c r="J157" s="46">
        <f>SmtRes!CZ32</f>
        <v>15.06</v>
      </c>
      <c r="K157" s="45"/>
      <c r="L157" s="46">
        <f>SmtRes!DG32</f>
        <v>2.56</v>
      </c>
    </row>
    <row r="158" spans="1:83" ht="28.5" x14ac:dyDescent="0.2">
      <c r="A158" s="42"/>
      <c r="B158" s="42" t="s">
        <v>332</v>
      </c>
      <c r="C158" s="42" t="s">
        <v>334</v>
      </c>
      <c r="D158" s="43" t="s">
        <v>194</v>
      </c>
      <c r="E158" s="44">
        <v>22.74</v>
      </c>
      <c r="F158" s="44"/>
      <c r="G158" s="44">
        <f>SmtRes!CX33</f>
        <v>4.7754000000000003</v>
      </c>
      <c r="H158" s="46">
        <f>SmtRes!CZ33</f>
        <v>346.73</v>
      </c>
      <c r="I158" s="45">
        <f>SmtRes!AJ33</f>
        <v>1.31</v>
      </c>
      <c r="J158" s="46">
        <f>ROUND(H158*I158, 2)</f>
        <v>454.22</v>
      </c>
      <c r="K158" s="45"/>
      <c r="L158" s="46">
        <f>SmtRes!DG33</f>
        <v>2169.08</v>
      </c>
    </row>
    <row r="159" spans="1:83" ht="28.5" x14ac:dyDescent="0.2">
      <c r="A159" s="42"/>
      <c r="B159" s="42" t="s">
        <v>335</v>
      </c>
      <c r="C159" s="42" t="s">
        <v>506</v>
      </c>
      <c r="D159" s="43" t="s">
        <v>324</v>
      </c>
      <c r="E159" s="44">
        <f>SmtRes!DO33*SmtRes!AT33</f>
        <v>22.74</v>
      </c>
      <c r="F159" s="44"/>
      <c r="G159" s="44">
        <f>SmtRes!DO33*SmtRes!CX33</f>
        <v>4.7754000000000003</v>
      </c>
      <c r="H159" s="46"/>
      <c r="I159" s="45"/>
      <c r="J159" s="46">
        <f>ROUND(SmtRes!AG33/SmtRes!DO33, 2)</f>
        <v>435.27</v>
      </c>
      <c r="K159" s="45"/>
      <c r="L159" s="46">
        <f>SmtRes!DH33</f>
        <v>2078.59</v>
      </c>
      <c r="CE159">
        <v>1</v>
      </c>
    </row>
    <row r="160" spans="1:83" ht="28.5" x14ac:dyDescent="0.2">
      <c r="A160" s="42"/>
      <c r="B160" s="42" t="s">
        <v>336</v>
      </c>
      <c r="C160" s="42" t="s">
        <v>338</v>
      </c>
      <c r="D160" s="43" t="s">
        <v>194</v>
      </c>
      <c r="E160" s="44">
        <v>0.59</v>
      </c>
      <c r="F160" s="44"/>
      <c r="G160" s="44">
        <f>SmtRes!CX34</f>
        <v>0.1239</v>
      </c>
      <c r="H160" s="46">
        <f>SmtRes!CZ34</f>
        <v>477.92</v>
      </c>
      <c r="I160" s="45">
        <f>SmtRes!AJ34</f>
        <v>1.19</v>
      </c>
      <c r="J160" s="46">
        <f>ROUND(H160*I160, 2)</f>
        <v>568.72</v>
      </c>
      <c r="K160" s="45"/>
      <c r="L160" s="46">
        <f>SmtRes!DG34</f>
        <v>70.459999999999994</v>
      </c>
    </row>
    <row r="161" spans="1:83" ht="28.5" x14ac:dyDescent="0.2">
      <c r="A161" s="42"/>
      <c r="B161" s="42" t="s">
        <v>335</v>
      </c>
      <c r="C161" s="42" t="s">
        <v>506</v>
      </c>
      <c r="D161" s="43" t="s">
        <v>324</v>
      </c>
      <c r="E161" s="44">
        <f>SmtRes!DO34*SmtRes!AT34</f>
        <v>0.59</v>
      </c>
      <c r="F161" s="44"/>
      <c r="G161" s="44">
        <f>SmtRes!DO34*SmtRes!CX34</f>
        <v>0.1239</v>
      </c>
      <c r="H161" s="46"/>
      <c r="I161" s="45"/>
      <c r="J161" s="46">
        <f>ROUND(SmtRes!AG34/SmtRes!DO34, 2)</f>
        <v>435.27</v>
      </c>
      <c r="K161" s="45"/>
      <c r="L161" s="46">
        <f>SmtRes!DH34</f>
        <v>53.93</v>
      </c>
      <c r="CE161">
        <v>1</v>
      </c>
    </row>
    <row r="162" spans="1:83" ht="28.5" x14ac:dyDescent="0.2">
      <c r="A162" s="42"/>
      <c r="B162" s="42" t="s">
        <v>339</v>
      </c>
      <c r="C162" s="42" t="s">
        <v>341</v>
      </c>
      <c r="D162" s="43" t="s">
        <v>194</v>
      </c>
      <c r="E162" s="44">
        <v>0.81</v>
      </c>
      <c r="F162" s="44"/>
      <c r="G162" s="44">
        <f>SmtRes!CX35</f>
        <v>0.1701</v>
      </c>
      <c r="H162" s="46"/>
      <c r="I162" s="45"/>
      <c r="J162" s="46">
        <f>SmtRes!CZ35</f>
        <v>170.84</v>
      </c>
      <c r="K162" s="45"/>
      <c r="L162" s="46">
        <f>SmtRes!DG35</f>
        <v>29.06</v>
      </c>
    </row>
    <row r="163" spans="1:83" ht="28.5" x14ac:dyDescent="0.2">
      <c r="A163" s="42"/>
      <c r="B163" s="42" t="s">
        <v>335</v>
      </c>
      <c r="C163" s="42" t="s">
        <v>506</v>
      </c>
      <c r="D163" s="43" t="s">
        <v>324</v>
      </c>
      <c r="E163" s="44">
        <f>SmtRes!DO35*SmtRes!AT35</f>
        <v>0.81</v>
      </c>
      <c r="F163" s="44"/>
      <c r="G163" s="44">
        <f>SmtRes!DO35*SmtRes!CX35</f>
        <v>0.1701</v>
      </c>
      <c r="H163" s="46"/>
      <c r="I163" s="45"/>
      <c r="J163" s="46">
        <f>ROUND(SmtRes!AG35/SmtRes!DO35, 2)</f>
        <v>435.27</v>
      </c>
      <c r="K163" s="45"/>
      <c r="L163" s="46">
        <f>SmtRes!DH35</f>
        <v>74.040000000000006</v>
      </c>
      <c r="CE163">
        <v>1</v>
      </c>
    </row>
    <row r="164" spans="1:83" ht="15" x14ac:dyDescent="0.2">
      <c r="A164" s="41"/>
      <c r="B164" s="44">
        <v>4</v>
      </c>
      <c r="C164" s="51" t="s">
        <v>508</v>
      </c>
      <c r="D164" s="52"/>
      <c r="E164" s="53"/>
      <c r="F164" s="54"/>
      <c r="G164" s="53"/>
      <c r="H164" s="54"/>
      <c r="I164" s="54"/>
      <c r="J164" s="54"/>
      <c r="K164" s="54"/>
      <c r="L164" s="55">
        <f>0</f>
        <v>0</v>
      </c>
    </row>
    <row r="165" spans="1:83" ht="15" x14ac:dyDescent="0.2">
      <c r="A165" s="42"/>
      <c r="B165" s="42"/>
      <c r="C165" s="58" t="s">
        <v>509</v>
      </c>
      <c r="D165" s="43"/>
      <c r="E165" s="44"/>
      <c r="F165" s="44"/>
      <c r="G165" s="44"/>
      <c r="H165" s="46"/>
      <c r="I165" s="45"/>
      <c r="J165" s="46"/>
      <c r="K165" s="45"/>
      <c r="L165" s="46">
        <f>L148+L153+L154+L164</f>
        <v>13313.15</v>
      </c>
    </row>
    <row r="166" spans="1:83" ht="14.25" x14ac:dyDescent="0.2">
      <c r="A166" s="42"/>
      <c r="B166" s="42"/>
      <c r="C166" s="42" t="s">
        <v>510</v>
      </c>
      <c r="D166" s="43"/>
      <c r="E166" s="44"/>
      <c r="F166" s="44"/>
      <c r="G166" s="44"/>
      <c r="H166" s="46"/>
      <c r="I166" s="45"/>
      <c r="J166" s="46"/>
      <c r="K166" s="45"/>
      <c r="L166" s="46">
        <f>SUM(AR146:AR169)+SUM(AS146:AS169)+SUM(AT146:AT169)+SUM(AU146:AU169)+SUM(AV146:AV169)</f>
        <v>10812.07</v>
      </c>
    </row>
    <row r="167" spans="1:83" ht="14.25" x14ac:dyDescent="0.2">
      <c r="A167" s="42"/>
      <c r="B167" s="42" t="s">
        <v>33</v>
      </c>
      <c r="C167" s="42" t="s">
        <v>511</v>
      </c>
      <c r="D167" s="43" t="s">
        <v>365</v>
      </c>
      <c r="E167" s="44">
        <f>Source!BZ66</f>
        <v>103</v>
      </c>
      <c r="F167" s="44"/>
      <c r="G167" s="44">
        <f>Source!AT66</f>
        <v>103</v>
      </c>
      <c r="H167" s="46"/>
      <c r="I167" s="45"/>
      <c r="J167" s="46"/>
      <c r="K167" s="45"/>
      <c r="L167" s="46">
        <f>SUM(AZ146:AZ169)</f>
        <v>11136.43</v>
      </c>
    </row>
    <row r="168" spans="1:83" ht="14.25" x14ac:dyDescent="0.2">
      <c r="A168" s="60"/>
      <c r="B168" s="60" t="s">
        <v>34</v>
      </c>
      <c r="C168" s="60" t="s">
        <v>512</v>
      </c>
      <c r="D168" s="52" t="s">
        <v>365</v>
      </c>
      <c r="E168" s="54">
        <f>Source!CA66</f>
        <v>60</v>
      </c>
      <c r="F168" s="54"/>
      <c r="G168" s="54">
        <f>Source!AU66</f>
        <v>60</v>
      </c>
      <c r="H168" s="61"/>
      <c r="I168" s="62"/>
      <c r="J168" s="61"/>
      <c r="K168" s="62"/>
      <c r="L168" s="61">
        <f>SUM(BA146:BA169)</f>
        <v>6487.24</v>
      </c>
    </row>
    <row r="169" spans="1:83" ht="15" x14ac:dyDescent="0.2">
      <c r="C169" s="113" t="s">
        <v>513</v>
      </c>
      <c r="D169" s="113"/>
      <c r="E169" s="113"/>
      <c r="F169" s="113"/>
      <c r="G169" s="113"/>
      <c r="H169" s="113"/>
      <c r="I169" s="114">
        <f>K169/E146</f>
        <v>147318.19047619047</v>
      </c>
      <c r="J169" s="114"/>
      <c r="K169" s="114">
        <f>L148+L153+L164+L167+L168+L154</f>
        <v>30936.82</v>
      </c>
      <c r="L169" s="114"/>
      <c r="AD169">
        <f>ROUND((Source!AT66/100)*((ROUND(SUMIF(SmtRes!AQ26:'SmtRes'!AQ38,"=1",SmtRes!AD26:'SmtRes'!AD38)*Source!I66, 2)+ROUND(SUMIF(SmtRes!AQ26:'SmtRes'!AQ38,"=1",SmtRes!AC26:'SmtRes'!AC38)*Source!I66, 2))), 2)</f>
        <v>771.47</v>
      </c>
      <c r="AE169">
        <f>ROUND((Source!AU66/100)*((ROUND(SUMIF(SmtRes!AQ26:'SmtRes'!AQ38,"=1",SmtRes!AD26:'SmtRes'!AD38)*Source!I66, 2)+ROUND(SUMIF(SmtRes!AQ26:'SmtRes'!AQ38,"=1",SmtRes!AC26:'SmtRes'!AC38)*Source!I66, 2))), 2)</f>
        <v>449.4</v>
      </c>
      <c r="AN169" s="56">
        <f>L148+L153+L164+L167+L168+L154</f>
        <v>30936.82</v>
      </c>
      <c r="AO169" s="56">
        <f>L153</f>
        <v>2501.0800000000008</v>
      </c>
      <c r="AQ169" t="s">
        <v>514</v>
      </c>
      <c r="AR169" s="56">
        <f>L148</f>
        <v>8513.42</v>
      </c>
      <c r="AT169" s="56">
        <f>L154</f>
        <v>2298.65</v>
      </c>
      <c r="AV169" t="s">
        <v>514</v>
      </c>
      <c r="AW169" s="56">
        <f>L164</f>
        <v>0</v>
      </c>
      <c r="AZ169">
        <f>Source!X66</f>
        <v>11136.43</v>
      </c>
      <c r="BA169">
        <f>Source!Y66</f>
        <v>6487.24</v>
      </c>
      <c r="CD169">
        <v>1</v>
      </c>
    </row>
    <row r="170" spans="1:83" ht="28.5" x14ac:dyDescent="0.2">
      <c r="A170" s="40" t="s">
        <v>117</v>
      </c>
      <c r="B170" s="42" t="s">
        <v>515</v>
      </c>
      <c r="C170" s="42" t="str">
        <f>Source!G69</f>
        <v>Зажим наборный без кожуха</v>
      </c>
      <c r="D170" s="43" t="str">
        <f>Source!H69</f>
        <v>100 ШТ</v>
      </c>
      <c r="E170" s="44">
        <f>Source!K69</f>
        <v>0.5</v>
      </c>
      <c r="F170" s="44"/>
      <c r="G170" s="44">
        <f>Source!I69</f>
        <v>0.5</v>
      </c>
      <c r="H170" s="46"/>
      <c r="I170" s="45"/>
      <c r="J170" s="46"/>
      <c r="K170" s="45"/>
      <c r="L170" s="46"/>
    </row>
    <row r="171" spans="1:83" x14ac:dyDescent="0.2">
      <c r="C171" s="48" t="str">
        <f>"Объем: "&amp;Source!I69&amp;"=50/"&amp;"100"</f>
        <v>Объем: 0,5=50/100</v>
      </c>
    </row>
    <row r="172" spans="1:83" ht="15" x14ac:dyDescent="0.2">
      <c r="A172" s="41"/>
      <c r="B172" s="44">
        <v>1</v>
      </c>
      <c r="C172" s="41" t="s">
        <v>503</v>
      </c>
      <c r="D172" s="43" t="s">
        <v>324</v>
      </c>
      <c r="E172" s="49"/>
      <c r="F172" s="44"/>
      <c r="G172" s="49">
        <f>Source!U69</f>
        <v>20.6</v>
      </c>
      <c r="H172" s="44"/>
      <c r="I172" s="44"/>
      <c r="J172" s="44"/>
      <c r="K172" s="44"/>
      <c r="L172" s="50">
        <f>SUM(L173:L173)-SUMIF(CE173:CE173, 1, L173:L173)</f>
        <v>8966.56</v>
      </c>
    </row>
    <row r="173" spans="1:83" ht="28.5" x14ac:dyDescent="0.2">
      <c r="A173" s="42"/>
      <c r="B173" s="42" t="s">
        <v>348</v>
      </c>
      <c r="C173" s="42" t="s">
        <v>349</v>
      </c>
      <c r="D173" s="43" t="s">
        <v>324</v>
      </c>
      <c r="E173" s="44">
        <v>41.2</v>
      </c>
      <c r="F173" s="44"/>
      <c r="G173" s="44">
        <f>SmtRes!CX58</f>
        <v>20.6</v>
      </c>
      <c r="H173" s="46"/>
      <c r="I173" s="45"/>
      <c r="J173" s="46">
        <f>SmtRes!CZ58</f>
        <v>435.27</v>
      </c>
      <c r="K173" s="45"/>
      <c r="L173" s="46">
        <f>SmtRes!DI58</f>
        <v>8966.56</v>
      </c>
    </row>
    <row r="174" spans="1:83" ht="15" x14ac:dyDescent="0.2">
      <c r="A174" s="41"/>
      <c r="B174" s="44">
        <v>2</v>
      </c>
      <c r="C174" s="41" t="s">
        <v>504</v>
      </c>
      <c r="D174" s="43"/>
      <c r="E174" s="49"/>
      <c r="F174" s="44"/>
      <c r="G174" s="49"/>
      <c r="H174" s="44"/>
      <c r="I174" s="44"/>
      <c r="J174" s="44"/>
      <c r="K174" s="44"/>
      <c r="L174" s="50">
        <f>SUM(L175:L180)-SUMIF(CE175:CE180, 1, L175:L180)</f>
        <v>103.49999999999996</v>
      </c>
    </row>
    <row r="175" spans="1:83" ht="15" x14ac:dyDescent="0.2">
      <c r="A175" s="41"/>
      <c r="B175" s="44"/>
      <c r="C175" s="41" t="s">
        <v>507</v>
      </c>
      <c r="D175" s="43" t="s">
        <v>324</v>
      </c>
      <c r="E175" s="49"/>
      <c r="F175" s="44"/>
      <c r="G175" s="49">
        <f>Source!V69</f>
        <v>0.1</v>
      </c>
      <c r="H175" s="44"/>
      <c r="I175" s="44"/>
      <c r="J175" s="44"/>
      <c r="K175" s="44"/>
      <c r="L175" s="50">
        <f>SUMIF(CE176:CE180, 1, L176:L180)</f>
        <v>50.99</v>
      </c>
      <c r="CE175">
        <v>1</v>
      </c>
    </row>
    <row r="176" spans="1:83" ht="28.5" x14ac:dyDescent="0.2">
      <c r="A176" s="42"/>
      <c r="B176" s="42" t="s">
        <v>325</v>
      </c>
      <c r="C176" s="42" t="s">
        <v>327</v>
      </c>
      <c r="D176" s="43" t="s">
        <v>194</v>
      </c>
      <c r="E176" s="44">
        <v>0.1</v>
      </c>
      <c r="F176" s="44"/>
      <c r="G176" s="44">
        <f>SmtRes!CX60</f>
        <v>0.05</v>
      </c>
      <c r="H176" s="46"/>
      <c r="I176" s="45"/>
      <c r="J176" s="46">
        <f>SmtRes!CZ60</f>
        <v>1459.82</v>
      </c>
      <c r="K176" s="45"/>
      <c r="L176" s="46">
        <f>SmtRes!DG60</f>
        <v>72.989999999999995</v>
      </c>
    </row>
    <row r="177" spans="1:83" ht="28.5" x14ac:dyDescent="0.2">
      <c r="A177" s="42"/>
      <c r="B177" s="42" t="s">
        <v>328</v>
      </c>
      <c r="C177" s="42" t="s">
        <v>505</v>
      </c>
      <c r="D177" s="43" t="s">
        <v>324</v>
      </c>
      <c r="E177" s="44">
        <f>SmtRes!DO60*SmtRes!AT60</f>
        <v>0.1</v>
      </c>
      <c r="F177" s="44"/>
      <c r="G177" s="44">
        <f>SmtRes!DO60*SmtRes!CX60</f>
        <v>0.05</v>
      </c>
      <c r="H177" s="46"/>
      <c r="I177" s="45"/>
      <c r="J177" s="46">
        <f>ROUND(SmtRes!AG60/SmtRes!DO60, 2)</f>
        <v>584.69000000000005</v>
      </c>
      <c r="K177" s="45"/>
      <c r="L177" s="46">
        <f>SmtRes!DH60</f>
        <v>29.23</v>
      </c>
      <c r="CE177">
        <v>1</v>
      </c>
    </row>
    <row r="178" spans="1:83" ht="28.5" x14ac:dyDescent="0.2">
      <c r="A178" s="42"/>
      <c r="B178" s="42" t="s">
        <v>336</v>
      </c>
      <c r="C178" s="42" t="s">
        <v>338</v>
      </c>
      <c r="D178" s="43" t="s">
        <v>194</v>
      </c>
      <c r="E178" s="44">
        <v>0.1</v>
      </c>
      <c r="F178" s="44"/>
      <c r="G178" s="44">
        <f>SmtRes!CX61</f>
        <v>0.05</v>
      </c>
      <c r="H178" s="46">
        <f>SmtRes!CZ61</f>
        <v>477.92</v>
      </c>
      <c r="I178" s="45">
        <f>SmtRes!AJ61</f>
        <v>1.19</v>
      </c>
      <c r="J178" s="46">
        <f>ROUND(H178*I178, 2)</f>
        <v>568.72</v>
      </c>
      <c r="K178" s="45"/>
      <c r="L178" s="46">
        <f>SmtRes!DG61</f>
        <v>28.44</v>
      </c>
    </row>
    <row r="179" spans="1:83" ht="28.5" x14ac:dyDescent="0.2">
      <c r="A179" s="42"/>
      <c r="B179" s="42" t="s">
        <v>335</v>
      </c>
      <c r="C179" s="42" t="s">
        <v>506</v>
      </c>
      <c r="D179" s="43" t="s">
        <v>324</v>
      </c>
      <c r="E179" s="44">
        <f>SmtRes!DO61*SmtRes!AT61</f>
        <v>0.1</v>
      </c>
      <c r="F179" s="44"/>
      <c r="G179" s="44">
        <f>SmtRes!DO61*SmtRes!CX61</f>
        <v>0.05</v>
      </c>
      <c r="H179" s="46"/>
      <c r="I179" s="45"/>
      <c r="J179" s="46">
        <f>ROUND(SmtRes!AG61/SmtRes!DO61, 2)</f>
        <v>435.27</v>
      </c>
      <c r="K179" s="45"/>
      <c r="L179" s="46">
        <f>SmtRes!DH61</f>
        <v>21.76</v>
      </c>
      <c r="CE179">
        <v>1</v>
      </c>
    </row>
    <row r="180" spans="1:83" ht="42.75" x14ac:dyDescent="0.2">
      <c r="A180" s="42"/>
      <c r="B180" s="42" t="s">
        <v>350</v>
      </c>
      <c r="C180" s="42" t="s">
        <v>352</v>
      </c>
      <c r="D180" s="43" t="s">
        <v>194</v>
      </c>
      <c r="E180" s="44">
        <v>0.16</v>
      </c>
      <c r="F180" s="44"/>
      <c r="G180" s="44">
        <f>SmtRes!CX62</f>
        <v>0.08</v>
      </c>
      <c r="H180" s="46"/>
      <c r="I180" s="45"/>
      <c r="J180" s="46">
        <f>SmtRes!CZ62</f>
        <v>25.86</v>
      </c>
      <c r="K180" s="45"/>
      <c r="L180" s="46">
        <f>SmtRes!DG62</f>
        <v>2.0699999999999998</v>
      </c>
    </row>
    <row r="181" spans="1:83" ht="15" x14ac:dyDescent="0.2">
      <c r="A181" s="41"/>
      <c r="B181" s="44">
        <v>4</v>
      </c>
      <c r="C181" s="41" t="s">
        <v>508</v>
      </c>
      <c r="D181" s="43"/>
      <c r="E181" s="49"/>
      <c r="F181" s="44"/>
      <c r="G181" s="49"/>
      <c r="H181" s="44"/>
      <c r="I181" s="44"/>
      <c r="J181" s="44"/>
      <c r="K181" s="44"/>
      <c r="L181" s="50">
        <f>SUM(L182:L184)-SUMIF(CE182:CE184, 1, L182:L184)</f>
        <v>611.23</v>
      </c>
    </row>
    <row r="182" spans="1:83" ht="42.75" x14ac:dyDescent="0.2">
      <c r="A182" s="42"/>
      <c r="B182" s="42" t="s">
        <v>353</v>
      </c>
      <c r="C182" s="42" t="s">
        <v>355</v>
      </c>
      <c r="D182" s="43" t="s">
        <v>356</v>
      </c>
      <c r="E182" s="44">
        <v>3.0000000000000001E-3</v>
      </c>
      <c r="F182" s="44"/>
      <c r="G182" s="44">
        <f>SmtRes!CX63</f>
        <v>1.5E-3</v>
      </c>
      <c r="H182" s="46">
        <f>SmtRes!CZ63</f>
        <v>70310.45</v>
      </c>
      <c r="I182" s="45">
        <f>SmtRes!AI63</f>
        <v>0.89</v>
      </c>
      <c r="J182" s="46">
        <f>ROUND(H182*I182, 2)</f>
        <v>62576.3</v>
      </c>
      <c r="K182" s="45"/>
      <c r="L182" s="46">
        <f>SmtRes!DF63</f>
        <v>93.86</v>
      </c>
    </row>
    <row r="183" spans="1:83" ht="28.5" x14ac:dyDescent="0.2">
      <c r="A183" s="42"/>
      <c r="B183" s="42" t="s">
        <v>357</v>
      </c>
      <c r="C183" s="42" t="s">
        <v>359</v>
      </c>
      <c r="D183" s="43" t="s">
        <v>176</v>
      </c>
      <c r="E183" s="44">
        <v>0.8</v>
      </c>
      <c r="F183" s="44"/>
      <c r="G183" s="44">
        <f>SmtRes!CX64</f>
        <v>0.4</v>
      </c>
      <c r="H183" s="46">
        <f>SmtRes!CZ64</f>
        <v>79.88</v>
      </c>
      <c r="I183" s="45">
        <f>SmtRes!AI64</f>
        <v>1.31</v>
      </c>
      <c r="J183" s="46">
        <f>ROUND(H183*I183, 2)</f>
        <v>104.64</v>
      </c>
      <c r="K183" s="45"/>
      <c r="L183" s="46">
        <f>SmtRes!DF64</f>
        <v>41.86</v>
      </c>
    </row>
    <row r="184" spans="1:83" ht="28.5" x14ac:dyDescent="0.2">
      <c r="A184" s="42"/>
      <c r="B184" s="42" t="s">
        <v>360</v>
      </c>
      <c r="C184" s="60" t="s">
        <v>362</v>
      </c>
      <c r="D184" s="52" t="s">
        <v>38</v>
      </c>
      <c r="E184" s="54">
        <v>1.02</v>
      </c>
      <c r="F184" s="54"/>
      <c r="G184" s="54">
        <f>SmtRes!CX65</f>
        <v>0.51</v>
      </c>
      <c r="H184" s="61">
        <f>SmtRes!CZ65</f>
        <v>896.51</v>
      </c>
      <c r="I184" s="62">
        <f>SmtRes!AI65</f>
        <v>1.04</v>
      </c>
      <c r="J184" s="61">
        <f>ROUND(H184*I184, 2)</f>
        <v>932.37</v>
      </c>
      <c r="K184" s="62"/>
      <c r="L184" s="61">
        <f>SmtRes!DF65</f>
        <v>475.51</v>
      </c>
    </row>
    <row r="185" spans="1:83" ht="15" x14ac:dyDescent="0.2">
      <c r="A185" s="42"/>
      <c r="B185" s="42"/>
      <c r="C185" s="58" t="s">
        <v>509</v>
      </c>
      <c r="D185" s="43"/>
      <c r="E185" s="44"/>
      <c r="F185" s="44"/>
      <c r="G185" s="44"/>
      <c r="H185" s="46"/>
      <c r="I185" s="45"/>
      <c r="J185" s="46"/>
      <c r="K185" s="45"/>
      <c r="L185" s="46">
        <f>L172+L174+L175+L181</f>
        <v>9732.2799999999988</v>
      </c>
    </row>
    <row r="186" spans="1:83" ht="14.25" x14ac:dyDescent="0.2">
      <c r="A186" s="42"/>
      <c r="B186" s="42"/>
      <c r="C186" s="42" t="s">
        <v>510</v>
      </c>
      <c r="D186" s="43"/>
      <c r="E186" s="44"/>
      <c r="F186" s="44"/>
      <c r="G186" s="44"/>
      <c r="H186" s="46"/>
      <c r="I186" s="45"/>
      <c r="J186" s="46"/>
      <c r="K186" s="45"/>
      <c r="L186" s="46">
        <f>SUM(AR170:AR189)+SUM(AS170:AS189)+SUM(AT170:AT189)+SUM(AU170:AU189)+SUM(AV170:AV189)</f>
        <v>9017.5499999999993</v>
      </c>
    </row>
    <row r="187" spans="1:83" ht="28.5" x14ac:dyDescent="0.2">
      <c r="A187" s="42"/>
      <c r="B187" s="42" t="s">
        <v>45</v>
      </c>
      <c r="C187" s="42" t="s">
        <v>517</v>
      </c>
      <c r="D187" s="43" t="s">
        <v>365</v>
      </c>
      <c r="E187" s="44">
        <f>Source!BZ69</f>
        <v>97</v>
      </c>
      <c r="F187" s="44"/>
      <c r="G187" s="44">
        <f>Source!AT69</f>
        <v>97</v>
      </c>
      <c r="H187" s="46"/>
      <c r="I187" s="45"/>
      <c r="J187" s="46"/>
      <c r="K187" s="45"/>
      <c r="L187" s="46">
        <f>SUM(AZ170:AZ189)</f>
        <v>8747.02</v>
      </c>
    </row>
    <row r="188" spans="1:83" ht="28.5" x14ac:dyDescent="0.2">
      <c r="A188" s="60"/>
      <c r="B188" s="60" t="s">
        <v>46</v>
      </c>
      <c r="C188" s="60" t="s">
        <v>518</v>
      </c>
      <c r="D188" s="52" t="s">
        <v>365</v>
      </c>
      <c r="E188" s="54">
        <f>Source!CA69</f>
        <v>51</v>
      </c>
      <c r="F188" s="54"/>
      <c r="G188" s="54">
        <f>Source!AU69</f>
        <v>51</v>
      </c>
      <c r="H188" s="61"/>
      <c r="I188" s="62"/>
      <c r="J188" s="61"/>
      <c r="K188" s="62"/>
      <c r="L188" s="61">
        <f>SUM(BA170:BA189)</f>
        <v>4598.95</v>
      </c>
    </row>
    <row r="189" spans="1:83" ht="15" x14ac:dyDescent="0.2">
      <c r="C189" s="113" t="s">
        <v>513</v>
      </c>
      <c r="D189" s="113"/>
      <c r="E189" s="113"/>
      <c r="F189" s="113"/>
      <c r="G189" s="113"/>
      <c r="H189" s="113"/>
      <c r="I189" s="114">
        <f>K189/E170</f>
        <v>46156.5</v>
      </c>
      <c r="J189" s="114"/>
      <c r="K189" s="114">
        <f>L172+L174+L181+L187+L188+L175</f>
        <v>23078.25</v>
      </c>
      <c r="L189" s="114"/>
      <c r="AD189">
        <f>ROUND((Source!AT69/100)*((ROUND(SUMIF(SmtRes!AQ58:'SmtRes'!AQ66,"=1",SmtRes!AD58:'SmtRes'!AD66)*Source!I69, 2)+ROUND(SUMIF(SmtRes!AQ58:'SmtRes'!AQ66,"=1",SmtRes!AC58:'SmtRes'!AC66)*Source!I69, 2))), 2)</f>
        <v>705.79</v>
      </c>
      <c r="AE189">
        <f>ROUND((Source!AU69/100)*((ROUND(SUMIF(SmtRes!AQ58:'SmtRes'!AQ66,"=1",SmtRes!AD58:'SmtRes'!AD66)*Source!I69, 2)+ROUND(SUMIF(SmtRes!AQ58:'SmtRes'!AQ66,"=1",SmtRes!AC58:'SmtRes'!AC66)*Source!I69, 2))), 2)</f>
        <v>371.09</v>
      </c>
      <c r="AN189" s="56">
        <f>L172+L174+L181+L187+L188+L175</f>
        <v>23078.25</v>
      </c>
      <c r="AO189" s="56">
        <f>L174</f>
        <v>103.49999999999996</v>
      </c>
      <c r="AQ189" t="s">
        <v>514</v>
      </c>
      <c r="AR189" s="56">
        <f>L172</f>
        <v>8966.56</v>
      </c>
      <c r="AT189" s="56">
        <f>L175</f>
        <v>50.99</v>
      </c>
      <c r="AV189" t="s">
        <v>514</v>
      </c>
      <c r="AW189" s="56">
        <f>L181</f>
        <v>611.23</v>
      </c>
      <c r="AZ189">
        <f>Source!X69</f>
        <v>8747.02</v>
      </c>
      <c r="BA189">
        <f>Source!Y69</f>
        <v>4598.95</v>
      </c>
      <c r="CD189">
        <v>2</v>
      </c>
    </row>
    <row r="190" spans="1:83" ht="42.75" x14ac:dyDescent="0.2">
      <c r="A190" s="40" t="s">
        <v>119</v>
      </c>
      <c r="B190" s="42" t="s">
        <v>547</v>
      </c>
      <c r="C190" s="42" t="str">
        <f>Source!G70</f>
        <v>Устройство ответвлений от ВЛ 0,38 кВ к зданиям: с помощью механизмов при количестве проводов в ответвлении 4</v>
      </c>
      <c r="D190" s="43" t="str">
        <f>Source!H70</f>
        <v>ответвление</v>
      </c>
      <c r="E190" s="44">
        <f>Source!K70</f>
        <v>8</v>
      </c>
      <c r="F190" s="44"/>
      <c r="G190" s="44">
        <f>Source!I70</f>
        <v>8</v>
      </c>
      <c r="H190" s="46"/>
      <c r="I190" s="45"/>
      <c r="J190" s="46"/>
      <c r="K190" s="45"/>
      <c r="L190" s="46"/>
    </row>
    <row r="191" spans="1:83" ht="15" x14ac:dyDescent="0.2">
      <c r="A191" s="41"/>
      <c r="B191" s="44">
        <v>1</v>
      </c>
      <c r="C191" s="41" t="s">
        <v>503</v>
      </c>
      <c r="D191" s="43" t="s">
        <v>324</v>
      </c>
      <c r="E191" s="49"/>
      <c r="F191" s="44"/>
      <c r="G191" s="49">
        <f>Source!U70</f>
        <v>21.04</v>
      </c>
      <c r="H191" s="44"/>
      <c r="I191" s="44"/>
      <c r="J191" s="44"/>
      <c r="K191" s="44"/>
      <c r="L191" s="50">
        <f>SUM(L192:L192)-SUMIF(CE192:CE192, 1, L192:L192)</f>
        <v>8645.5499999999993</v>
      </c>
    </row>
    <row r="192" spans="1:83" ht="28.5" x14ac:dyDescent="0.2">
      <c r="A192" s="42"/>
      <c r="B192" s="42" t="s">
        <v>394</v>
      </c>
      <c r="C192" s="42" t="s">
        <v>395</v>
      </c>
      <c r="D192" s="43" t="s">
        <v>324</v>
      </c>
      <c r="E192" s="44">
        <v>2.63</v>
      </c>
      <c r="F192" s="44"/>
      <c r="G192" s="44">
        <f>SmtRes!CX67</f>
        <v>21.04</v>
      </c>
      <c r="H192" s="46"/>
      <c r="I192" s="45"/>
      <c r="J192" s="46">
        <f>SmtRes!CZ67</f>
        <v>410.91</v>
      </c>
      <c r="K192" s="45"/>
      <c r="L192" s="46">
        <f>SmtRes!DI67</f>
        <v>8645.5499999999993</v>
      </c>
    </row>
    <row r="193" spans="1:83" ht="15" x14ac:dyDescent="0.2">
      <c r="A193" s="41"/>
      <c r="B193" s="44">
        <v>2</v>
      </c>
      <c r="C193" s="41" t="s">
        <v>504</v>
      </c>
      <c r="D193" s="43"/>
      <c r="E193" s="49"/>
      <c r="F193" s="44"/>
      <c r="G193" s="49"/>
      <c r="H193" s="44"/>
      <c r="I193" s="44"/>
      <c r="J193" s="44"/>
      <c r="K193" s="44"/>
      <c r="L193" s="50">
        <f>SUM(L194:L198)-SUMIF(CE194:CE198, 1, L194:L198)</f>
        <v>1118.5100000000002</v>
      </c>
    </row>
    <row r="194" spans="1:83" ht="15" x14ac:dyDescent="0.2">
      <c r="A194" s="41"/>
      <c r="B194" s="44"/>
      <c r="C194" s="41" t="s">
        <v>507</v>
      </c>
      <c r="D194" s="43" t="s">
        <v>324</v>
      </c>
      <c r="E194" s="49"/>
      <c r="F194" s="44"/>
      <c r="G194" s="49">
        <f>Source!V70</f>
        <v>2.16</v>
      </c>
      <c r="H194" s="44"/>
      <c r="I194" s="44"/>
      <c r="J194" s="44"/>
      <c r="K194" s="44"/>
      <c r="L194" s="50">
        <f>SUMIF(CE195:CE198, 1, L195:L198)</f>
        <v>940.18000000000006</v>
      </c>
      <c r="CE194">
        <v>1</v>
      </c>
    </row>
    <row r="195" spans="1:83" ht="28.5" x14ac:dyDescent="0.2">
      <c r="A195" s="42"/>
      <c r="B195" s="42" t="s">
        <v>332</v>
      </c>
      <c r="C195" s="42" t="s">
        <v>334</v>
      </c>
      <c r="D195" s="43" t="s">
        <v>194</v>
      </c>
      <c r="E195" s="44">
        <v>0.12</v>
      </c>
      <c r="F195" s="44"/>
      <c r="G195" s="44">
        <f>SmtRes!CX69</f>
        <v>0.96</v>
      </c>
      <c r="H195" s="46">
        <f>SmtRes!CZ69</f>
        <v>346.73</v>
      </c>
      <c r="I195" s="45">
        <f>SmtRes!AJ69</f>
        <v>1.31</v>
      </c>
      <c r="J195" s="46">
        <f>ROUND(H195*I195, 2)</f>
        <v>454.22</v>
      </c>
      <c r="K195" s="45"/>
      <c r="L195" s="46">
        <f>SmtRes!DG69</f>
        <v>436.05</v>
      </c>
    </row>
    <row r="196" spans="1:83" ht="28.5" x14ac:dyDescent="0.2">
      <c r="A196" s="42"/>
      <c r="B196" s="42" t="s">
        <v>335</v>
      </c>
      <c r="C196" s="42" t="s">
        <v>506</v>
      </c>
      <c r="D196" s="43" t="s">
        <v>324</v>
      </c>
      <c r="E196" s="44">
        <f>SmtRes!DO69*SmtRes!AT69</f>
        <v>0.12</v>
      </c>
      <c r="F196" s="44"/>
      <c r="G196" s="44">
        <f>SmtRes!DO69*SmtRes!CX69</f>
        <v>0.96</v>
      </c>
      <c r="H196" s="46"/>
      <c r="I196" s="45"/>
      <c r="J196" s="46">
        <f>ROUND(SmtRes!AG69/SmtRes!DO69, 2)</f>
        <v>435.27</v>
      </c>
      <c r="K196" s="45"/>
      <c r="L196" s="46">
        <f>SmtRes!DH69</f>
        <v>417.86</v>
      </c>
      <c r="CE196">
        <v>1</v>
      </c>
    </row>
    <row r="197" spans="1:83" ht="28.5" x14ac:dyDescent="0.2">
      <c r="A197" s="42"/>
      <c r="B197" s="42" t="s">
        <v>336</v>
      </c>
      <c r="C197" s="42" t="s">
        <v>338</v>
      </c>
      <c r="D197" s="43" t="s">
        <v>194</v>
      </c>
      <c r="E197" s="44">
        <v>0.15</v>
      </c>
      <c r="F197" s="44"/>
      <c r="G197" s="44">
        <f>SmtRes!CX70</f>
        <v>1.2</v>
      </c>
      <c r="H197" s="46">
        <f>SmtRes!CZ70</f>
        <v>477.92</v>
      </c>
      <c r="I197" s="45">
        <f>SmtRes!AJ70</f>
        <v>1.19</v>
      </c>
      <c r="J197" s="46">
        <f>ROUND(H197*I197, 2)</f>
        <v>568.72</v>
      </c>
      <c r="K197" s="45"/>
      <c r="L197" s="46">
        <f>SmtRes!DG70</f>
        <v>682.46</v>
      </c>
    </row>
    <row r="198" spans="1:83" ht="28.5" x14ac:dyDescent="0.2">
      <c r="A198" s="42"/>
      <c r="B198" s="42" t="s">
        <v>335</v>
      </c>
      <c r="C198" s="42" t="s">
        <v>506</v>
      </c>
      <c r="D198" s="43" t="s">
        <v>324</v>
      </c>
      <c r="E198" s="44">
        <f>SmtRes!DO70*SmtRes!AT70</f>
        <v>0.15</v>
      </c>
      <c r="F198" s="44"/>
      <c r="G198" s="44">
        <f>SmtRes!DO70*SmtRes!CX70</f>
        <v>1.2</v>
      </c>
      <c r="H198" s="46"/>
      <c r="I198" s="45"/>
      <c r="J198" s="46">
        <f>ROUND(SmtRes!AG70/SmtRes!DO70, 2)</f>
        <v>435.27</v>
      </c>
      <c r="K198" s="45"/>
      <c r="L198" s="46">
        <f>SmtRes!DH70</f>
        <v>522.32000000000005</v>
      </c>
      <c r="CE198">
        <v>1</v>
      </c>
    </row>
    <row r="199" spans="1:83" ht="15" x14ac:dyDescent="0.2">
      <c r="A199" s="41"/>
      <c r="B199" s="44">
        <v>4</v>
      </c>
      <c r="C199" s="41" t="s">
        <v>508</v>
      </c>
      <c r="D199" s="43"/>
      <c r="E199" s="49"/>
      <c r="F199" s="44"/>
      <c r="G199" s="49"/>
      <c r="H199" s="44"/>
      <c r="I199" s="44"/>
      <c r="J199" s="44"/>
      <c r="K199" s="44"/>
      <c r="L199" s="50">
        <f>SUM(L200:L201)-SUMIF(CE200:CE201, 1, L200:L201)</f>
        <v>1963.52</v>
      </c>
    </row>
    <row r="200" spans="1:83" ht="14.25" x14ac:dyDescent="0.2">
      <c r="A200" s="42"/>
      <c r="B200" s="42" t="s">
        <v>396</v>
      </c>
      <c r="C200" s="42" t="s">
        <v>398</v>
      </c>
      <c r="D200" s="43" t="s">
        <v>176</v>
      </c>
      <c r="E200" s="44">
        <v>0.5</v>
      </c>
      <c r="F200" s="44"/>
      <c r="G200" s="44">
        <f>SmtRes!CX71</f>
        <v>4</v>
      </c>
      <c r="H200" s="46">
        <f>SmtRes!CZ71</f>
        <v>238.29</v>
      </c>
      <c r="I200" s="45">
        <f>SmtRes!AI71</f>
        <v>2.06</v>
      </c>
      <c r="J200" s="46">
        <f>ROUND(H200*I200, 2)</f>
        <v>490.88</v>
      </c>
      <c r="K200" s="45"/>
      <c r="L200" s="46">
        <f>SmtRes!DF71</f>
        <v>1963.52</v>
      </c>
    </row>
    <row r="201" spans="1:83" ht="28.5" x14ac:dyDescent="0.2">
      <c r="A201" s="42"/>
      <c r="B201" s="42" t="s">
        <v>399</v>
      </c>
      <c r="C201" s="60" t="s">
        <v>401</v>
      </c>
      <c r="D201" s="52" t="s">
        <v>176</v>
      </c>
      <c r="E201" s="54">
        <v>0</v>
      </c>
      <c r="F201" s="54"/>
      <c r="G201" s="54">
        <f>SmtRes!CX72</f>
        <v>0</v>
      </c>
      <c r="H201" s="61">
        <f>SmtRes!CZ72</f>
        <v>174.93</v>
      </c>
      <c r="I201" s="62">
        <f>SmtRes!AI72</f>
        <v>1.1100000000000001</v>
      </c>
      <c r="J201" s="61">
        <f>ROUND(H201*I201, 2)</f>
        <v>194.17</v>
      </c>
      <c r="K201" s="62"/>
      <c r="L201" s="61">
        <f>SmtRes!DF72</f>
        <v>0</v>
      </c>
    </row>
    <row r="202" spans="1:83" ht="15" x14ac:dyDescent="0.2">
      <c r="A202" s="42"/>
      <c r="B202" s="42"/>
      <c r="C202" s="58" t="s">
        <v>509</v>
      </c>
      <c r="D202" s="43"/>
      <c r="E202" s="44"/>
      <c r="F202" s="44"/>
      <c r="G202" s="44"/>
      <c r="H202" s="46"/>
      <c r="I202" s="45"/>
      <c r="J202" s="46"/>
      <c r="K202" s="45"/>
      <c r="L202" s="46">
        <f>L191+L193+L194+L199</f>
        <v>12667.76</v>
      </c>
    </row>
    <row r="203" spans="1:83" ht="14.25" x14ac:dyDescent="0.2">
      <c r="A203" s="42"/>
      <c r="B203" s="42"/>
      <c r="C203" s="42" t="s">
        <v>510</v>
      </c>
      <c r="D203" s="43"/>
      <c r="E203" s="44"/>
      <c r="F203" s="44"/>
      <c r="G203" s="44"/>
      <c r="H203" s="46"/>
      <c r="I203" s="45"/>
      <c r="J203" s="46"/>
      <c r="K203" s="45"/>
      <c r="L203" s="46">
        <f>SUM(AR190:AR206)+SUM(AS190:AS206)+SUM(AT190:AT206)+SUM(AU190:AU206)+SUM(AV190:AV206)</f>
        <v>9585.73</v>
      </c>
    </row>
    <row r="204" spans="1:83" ht="14.25" x14ac:dyDescent="0.2">
      <c r="A204" s="42"/>
      <c r="B204" s="42" t="s">
        <v>33</v>
      </c>
      <c r="C204" s="42" t="s">
        <v>511</v>
      </c>
      <c r="D204" s="43" t="s">
        <v>365</v>
      </c>
      <c r="E204" s="44">
        <f>Source!BZ70</f>
        <v>103</v>
      </c>
      <c r="F204" s="44"/>
      <c r="G204" s="44">
        <f>Source!AT70</f>
        <v>103</v>
      </c>
      <c r="H204" s="46"/>
      <c r="I204" s="45"/>
      <c r="J204" s="46"/>
      <c r="K204" s="45"/>
      <c r="L204" s="46">
        <f>SUM(AZ190:AZ206)</f>
        <v>9873.2999999999993</v>
      </c>
    </row>
    <row r="205" spans="1:83" ht="14.25" x14ac:dyDescent="0.2">
      <c r="A205" s="60"/>
      <c r="B205" s="60" t="s">
        <v>34</v>
      </c>
      <c r="C205" s="60" t="s">
        <v>512</v>
      </c>
      <c r="D205" s="52" t="s">
        <v>365</v>
      </c>
      <c r="E205" s="54">
        <f>Source!CA70</f>
        <v>60</v>
      </c>
      <c r="F205" s="54"/>
      <c r="G205" s="54">
        <f>Source!AU70</f>
        <v>60</v>
      </c>
      <c r="H205" s="61"/>
      <c r="I205" s="62"/>
      <c r="J205" s="61"/>
      <c r="K205" s="62"/>
      <c r="L205" s="61">
        <f>SUM(BA190:BA206)</f>
        <v>5751.44</v>
      </c>
    </row>
    <row r="206" spans="1:83" ht="15" x14ac:dyDescent="0.2">
      <c r="C206" s="113" t="s">
        <v>513</v>
      </c>
      <c r="D206" s="113"/>
      <c r="E206" s="113"/>
      <c r="F206" s="113"/>
      <c r="G206" s="113"/>
      <c r="H206" s="113"/>
      <c r="I206" s="114">
        <f>K206/E190</f>
        <v>3536.5624999999995</v>
      </c>
      <c r="J206" s="114"/>
      <c r="K206" s="114">
        <f>L191+L193+L199+L204+L205+L194</f>
        <v>28292.499999999996</v>
      </c>
      <c r="L206" s="114"/>
      <c r="AD206">
        <f>ROUND((Source!AT70/100)*((ROUND(SUMIF(SmtRes!AQ67:'SmtRes'!AQ77,"=1",SmtRes!AD67:'SmtRes'!AD77)*Source!I70, 2)+ROUND(SUMIF(SmtRes!AQ67:'SmtRes'!AQ77,"=1",SmtRes!AC67:'SmtRes'!AC77)*Source!I70, 2))), 2)</f>
        <v>10559.15</v>
      </c>
      <c r="AE206">
        <f>ROUND((Source!AU70/100)*((ROUND(SUMIF(SmtRes!AQ67:'SmtRes'!AQ77,"=1",SmtRes!AD67:'SmtRes'!AD77)*Source!I70, 2)+ROUND(SUMIF(SmtRes!AQ67:'SmtRes'!AQ77,"=1",SmtRes!AC67:'SmtRes'!AC77)*Source!I70, 2))), 2)</f>
        <v>6150.96</v>
      </c>
      <c r="AN206" s="56">
        <f>L191+L193+L199+L204+L205+L194</f>
        <v>28292.499999999996</v>
      </c>
      <c r="AO206" s="56">
        <f>L193</f>
        <v>1118.5100000000002</v>
      </c>
      <c r="AQ206" t="s">
        <v>514</v>
      </c>
      <c r="AR206" s="56">
        <f>L191</f>
        <v>8645.5499999999993</v>
      </c>
      <c r="AT206" s="56">
        <f>L194</f>
        <v>940.18000000000006</v>
      </c>
      <c r="AV206" t="s">
        <v>514</v>
      </c>
      <c r="AW206" s="56">
        <f>L199</f>
        <v>1963.52</v>
      </c>
      <c r="AZ206">
        <f>Source!X70</f>
        <v>9873.2999999999993</v>
      </c>
      <c r="BA206">
        <f>Source!Y70</f>
        <v>5751.44</v>
      </c>
      <c r="CD206">
        <v>1</v>
      </c>
    </row>
    <row r="207" spans="1:83" ht="28.5" x14ac:dyDescent="0.2">
      <c r="A207" s="40" t="s">
        <v>123</v>
      </c>
      <c r="B207" s="42" t="s">
        <v>548</v>
      </c>
      <c r="C207" s="42" t="str">
        <f>Source!G71</f>
        <v>Устройство ввода в здание, количество проводов в линии: 4</v>
      </c>
      <c r="D207" s="43" t="str">
        <f>Source!H71</f>
        <v>ШТ</v>
      </c>
      <c r="E207" s="44">
        <f>Source!K71</f>
        <v>8</v>
      </c>
      <c r="F207" s="44"/>
      <c r="G207" s="44">
        <f>Source!I71</f>
        <v>8</v>
      </c>
      <c r="H207" s="46"/>
      <c r="I207" s="45"/>
      <c r="J207" s="46"/>
      <c r="K207" s="45"/>
      <c r="L207" s="46"/>
    </row>
    <row r="208" spans="1:83" ht="15" x14ac:dyDescent="0.2">
      <c r="A208" s="41"/>
      <c r="B208" s="44">
        <v>1</v>
      </c>
      <c r="C208" s="41" t="s">
        <v>503</v>
      </c>
      <c r="D208" s="43" t="s">
        <v>324</v>
      </c>
      <c r="E208" s="49"/>
      <c r="F208" s="44"/>
      <c r="G208" s="49">
        <f>Source!U71</f>
        <v>34.159999999999997</v>
      </c>
      <c r="H208" s="44"/>
      <c r="I208" s="44"/>
      <c r="J208" s="44"/>
      <c r="K208" s="44"/>
      <c r="L208" s="50">
        <f>SUM(L209:L209)-SUMIF(CE209:CE209, 1, L209:L209)</f>
        <v>16200.38</v>
      </c>
    </row>
    <row r="209" spans="1:83" ht="28.5" x14ac:dyDescent="0.2">
      <c r="A209" s="42"/>
      <c r="B209" s="42" t="s">
        <v>412</v>
      </c>
      <c r="C209" s="42" t="s">
        <v>413</v>
      </c>
      <c r="D209" s="43" t="s">
        <v>324</v>
      </c>
      <c r="E209" s="44">
        <v>4.2699999999999996</v>
      </c>
      <c r="F209" s="44"/>
      <c r="G209" s="44">
        <f>SmtRes!CX78</f>
        <v>34.159999999999997</v>
      </c>
      <c r="H209" s="46"/>
      <c r="I209" s="45"/>
      <c r="J209" s="46">
        <f>SmtRes!CZ78</f>
        <v>474.25</v>
      </c>
      <c r="K209" s="45"/>
      <c r="L209" s="46">
        <f>SmtRes!DI78</f>
        <v>16200.38</v>
      </c>
    </row>
    <row r="210" spans="1:83" ht="15" x14ac:dyDescent="0.2">
      <c r="A210" s="41"/>
      <c r="B210" s="44">
        <v>2</v>
      </c>
      <c r="C210" s="41" t="s">
        <v>504</v>
      </c>
      <c r="D210" s="43"/>
      <c r="E210" s="49"/>
      <c r="F210" s="44"/>
      <c r="G210" s="49"/>
      <c r="H210" s="44"/>
      <c r="I210" s="44"/>
      <c r="J210" s="44"/>
      <c r="K210" s="44"/>
      <c r="L210" s="50">
        <f>SUM(L211:L217)-SUMIF(CE211:CE217, 1, L211:L217)</f>
        <v>57408.180000000022</v>
      </c>
    </row>
    <row r="211" spans="1:83" ht="15" x14ac:dyDescent="0.2">
      <c r="A211" s="41"/>
      <c r="B211" s="44"/>
      <c r="C211" s="41" t="s">
        <v>507</v>
      </c>
      <c r="D211" s="43" t="s">
        <v>324</v>
      </c>
      <c r="E211" s="49"/>
      <c r="F211" s="44"/>
      <c r="G211" s="49">
        <f>Source!V71</f>
        <v>29.839999999999996</v>
      </c>
      <c r="H211" s="44"/>
      <c r="I211" s="44"/>
      <c r="J211" s="44"/>
      <c r="K211" s="44"/>
      <c r="L211" s="50">
        <f>SUMIF(CE212:CE217, 1, L212:L217)</f>
        <v>17435.199999999997</v>
      </c>
      <c r="CE211">
        <v>1</v>
      </c>
    </row>
    <row r="212" spans="1:83" ht="28.5" x14ac:dyDescent="0.2">
      <c r="A212" s="42"/>
      <c r="B212" s="42" t="s">
        <v>325</v>
      </c>
      <c r="C212" s="42" t="s">
        <v>327</v>
      </c>
      <c r="D212" s="43" t="s">
        <v>194</v>
      </c>
      <c r="E212" s="44">
        <v>0.01</v>
      </c>
      <c r="F212" s="44"/>
      <c r="G212" s="44">
        <f>SmtRes!CX80</f>
        <v>0.08</v>
      </c>
      <c r="H212" s="46"/>
      <c r="I212" s="45"/>
      <c r="J212" s="46">
        <f>SmtRes!CZ80</f>
        <v>1459.82</v>
      </c>
      <c r="K212" s="45"/>
      <c r="L212" s="46">
        <f>SmtRes!DG80</f>
        <v>116.79</v>
      </c>
    </row>
    <row r="213" spans="1:83" ht="28.5" x14ac:dyDescent="0.2">
      <c r="A213" s="42"/>
      <c r="B213" s="42" t="s">
        <v>328</v>
      </c>
      <c r="C213" s="42" t="s">
        <v>505</v>
      </c>
      <c r="D213" s="43" t="s">
        <v>324</v>
      </c>
      <c r="E213" s="44">
        <f>SmtRes!DO80*SmtRes!AT80</f>
        <v>0.01</v>
      </c>
      <c r="F213" s="44"/>
      <c r="G213" s="44">
        <f>SmtRes!DO80*SmtRes!CX80</f>
        <v>0.08</v>
      </c>
      <c r="H213" s="46"/>
      <c r="I213" s="45"/>
      <c r="J213" s="46">
        <f>ROUND(SmtRes!AG80/SmtRes!DO80, 2)</f>
        <v>584.69000000000005</v>
      </c>
      <c r="K213" s="45"/>
      <c r="L213" s="46">
        <f>SmtRes!DH80</f>
        <v>46.78</v>
      </c>
      <c r="CE213">
        <v>1</v>
      </c>
    </row>
    <row r="214" spans="1:83" ht="42.75" x14ac:dyDescent="0.2">
      <c r="A214" s="42"/>
      <c r="B214" s="42" t="s">
        <v>414</v>
      </c>
      <c r="C214" s="42" t="s">
        <v>416</v>
      </c>
      <c r="D214" s="43" t="s">
        <v>194</v>
      </c>
      <c r="E214" s="44">
        <v>3.71</v>
      </c>
      <c r="F214" s="44"/>
      <c r="G214" s="44">
        <f>SmtRes!CX81</f>
        <v>29.68</v>
      </c>
      <c r="H214" s="46">
        <f>SmtRes!CZ81</f>
        <v>1472.34</v>
      </c>
      <c r="I214" s="45">
        <f>SmtRes!AJ81</f>
        <v>1.31</v>
      </c>
      <c r="J214" s="46">
        <f>ROUND(H214*I214, 2)</f>
        <v>1928.77</v>
      </c>
      <c r="K214" s="45"/>
      <c r="L214" s="46">
        <f>SmtRes!DG81</f>
        <v>57245.89</v>
      </c>
    </row>
    <row r="215" spans="1:83" ht="28.5" x14ac:dyDescent="0.2">
      <c r="A215" s="42"/>
      <c r="B215" s="42" t="s">
        <v>328</v>
      </c>
      <c r="C215" s="42" t="s">
        <v>505</v>
      </c>
      <c r="D215" s="43" t="s">
        <v>324</v>
      </c>
      <c r="E215" s="44">
        <f>SmtRes!DO81*SmtRes!AT81</f>
        <v>3.71</v>
      </c>
      <c r="F215" s="44"/>
      <c r="G215" s="44">
        <f>SmtRes!DO81*SmtRes!CX81</f>
        <v>29.68</v>
      </c>
      <c r="H215" s="46"/>
      <c r="I215" s="45"/>
      <c r="J215" s="46">
        <f>ROUND(SmtRes!AG81/SmtRes!DO81, 2)</f>
        <v>584.69000000000005</v>
      </c>
      <c r="K215" s="45"/>
      <c r="L215" s="46">
        <f>SmtRes!DH81</f>
        <v>17353.599999999999</v>
      </c>
      <c r="CE215">
        <v>1</v>
      </c>
    </row>
    <row r="216" spans="1:83" ht="28.5" x14ac:dyDescent="0.2">
      <c r="A216" s="42"/>
      <c r="B216" s="42" t="s">
        <v>336</v>
      </c>
      <c r="C216" s="42" t="s">
        <v>338</v>
      </c>
      <c r="D216" s="43" t="s">
        <v>194</v>
      </c>
      <c r="E216" s="44">
        <v>0.01</v>
      </c>
      <c r="F216" s="44"/>
      <c r="G216" s="44">
        <f>SmtRes!CX82</f>
        <v>0.08</v>
      </c>
      <c r="H216" s="46">
        <f>SmtRes!CZ82</f>
        <v>477.92</v>
      </c>
      <c r="I216" s="45">
        <f>SmtRes!AJ82</f>
        <v>1.19</v>
      </c>
      <c r="J216" s="46">
        <f>ROUND(H216*I216, 2)</f>
        <v>568.72</v>
      </c>
      <c r="K216" s="45"/>
      <c r="L216" s="46">
        <f>SmtRes!DG82</f>
        <v>45.5</v>
      </c>
    </row>
    <row r="217" spans="1:83" ht="28.5" x14ac:dyDescent="0.2">
      <c r="A217" s="42"/>
      <c r="B217" s="42" t="s">
        <v>335</v>
      </c>
      <c r="C217" s="42" t="s">
        <v>506</v>
      </c>
      <c r="D217" s="43" t="s">
        <v>324</v>
      </c>
      <c r="E217" s="44">
        <f>SmtRes!DO82*SmtRes!AT82</f>
        <v>0.01</v>
      </c>
      <c r="F217" s="44"/>
      <c r="G217" s="44">
        <f>SmtRes!DO82*SmtRes!CX82</f>
        <v>0.08</v>
      </c>
      <c r="H217" s="46"/>
      <c r="I217" s="45"/>
      <c r="J217" s="46">
        <f>ROUND(SmtRes!AG82/SmtRes!DO82, 2)</f>
        <v>435.27</v>
      </c>
      <c r="K217" s="45"/>
      <c r="L217" s="46">
        <f>SmtRes!DH82</f>
        <v>34.82</v>
      </c>
      <c r="CE217">
        <v>1</v>
      </c>
    </row>
    <row r="218" spans="1:83" ht="15" x14ac:dyDescent="0.2">
      <c r="A218" s="41"/>
      <c r="B218" s="44">
        <v>4</v>
      </c>
      <c r="C218" s="41" t="s">
        <v>508</v>
      </c>
      <c r="D218" s="43"/>
      <c r="E218" s="49"/>
      <c r="F218" s="44"/>
      <c r="G218" s="49"/>
      <c r="H218" s="44"/>
      <c r="I218" s="44"/>
      <c r="J218" s="44"/>
      <c r="K218" s="44"/>
      <c r="L218" s="50">
        <f>SUM(L219:L223)-SUMIF(CE219:CE223, 1, L219:L223)</f>
        <v>580.74</v>
      </c>
    </row>
    <row r="219" spans="1:83" ht="71.25" x14ac:dyDescent="0.2">
      <c r="A219" s="42"/>
      <c r="B219" s="42" t="s">
        <v>417</v>
      </c>
      <c r="C219" s="42" t="s">
        <v>419</v>
      </c>
      <c r="D219" s="43" t="s">
        <v>383</v>
      </c>
      <c r="E219" s="44">
        <v>29.09</v>
      </c>
      <c r="F219" s="44"/>
      <c r="G219" s="44">
        <f>SmtRes!CX83</f>
        <v>232.72</v>
      </c>
      <c r="H219" s="46">
        <f>SmtRes!CZ83</f>
        <v>0.5</v>
      </c>
      <c r="I219" s="45">
        <f>SmtRes!AI83</f>
        <v>1.45</v>
      </c>
      <c r="J219" s="46">
        <f>ROUND(H219*I219, 2)</f>
        <v>0.73</v>
      </c>
      <c r="K219" s="45"/>
      <c r="L219" s="46">
        <f>SmtRes!DF83</f>
        <v>169.89</v>
      </c>
    </row>
    <row r="220" spans="1:83" ht="28.5" x14ac:dyDescent="0.2">
      <c r="A220" s="42"/>
      <c r="B220" s="42" t="s">
        <v>399</v>
      </c>
      <c r="C220" s="42" t="s">
        <v>401</v>
      </c>
      <c r="D220" s="43" t="s">
        <v>176</v>
      </c>
      <c r="E220" s="44">
        <v>0.02</v>
      </c>
      <c r="F220" s="44"/>
      <c r="G220" s="44">
        <f>SmtRes!CX84</f>
        <v>0.16</v>
      </c>
      <c r="H220" s="46">
        <f>SmtRes!CZ84</f>
        <v>174.93</v>
      </c>
      <c r="I220" s="45">
        <f>SmtRes!AI84</f>
        <v>1.1100000000000001</v>
      </c>
      <c r="J220" s="46">
        <f>ROUND(H220*I220, 2)</f>
        <v>194.17</v>
      </c>
      <c r="K220" s="45"/>
      <c r="L220" s="46">
        <f>SmtRes!DF84</f>
        <v>31.07</v>
      </c>
    </row>
    <row r="221" spans="1:83" ht="28.5" x14ac:dyDescent="0.2">
      <c r="A221" s="42"/>
      <c r="B221" s="42" t="s">
        <v>357</v>
      </c>
      <c r="C221" s="42" t="s">
        <v>359</v>
      </c>
      <c r="D221" s="43" t="s">
        <v>176</v>
      </c>
      <c r="E221" s="44">
        <v>0.13</v>
      </c>
      <c r="F221" s="44"/>
      <c r="G221" s="44">
        <f>SmtRes!CX85</f>
        <v>1.04</v>
      </c>
      <c r="H221" s="46">
        <f>SmtRes!CZ85</f>
        <v>79.88</v>
      </c>
      <c r="I221" s="45">
        <f>SmtRes!AI85</f>
        <v>1.31</v>
      </c>
      <c r="J221" s="46">
        <f>ROUND(H221*I221, 2)</f>
        <v>104.64</v>
      </c>
      <c r="K221" s="45"/>
      <c r="L221" s="46">
        <f>SmtRes!DF85</f>
        <v>108.83</v>
      </c>
    </row>
    <row r="222" spans="1:83" ht="14.25" x14ac:dyDescent="0.2">
      <c r="A222" s="42"/>
      <c r="B222" s="42" t="s">
        <v>420</v>
      </c>
      <c r="C222" s="42" t="s">
        <v>422</v>
      </c>
      <c r="D222" s="43" t="s">
        <v>356</v>
      </c>
      <c r="E222" s="44">
        <v>2.0000000000000002E-5</v>
      </c>
      <c r="F222" s="44"/>
      <c r="G222" s="44">
        <f>SmtRes!CX86</f>
        <v>1.6000000000000001E-4</v>
      </c>
      <c r="H222" s="46">
        <f>SmtRes!CZ86</f>
        <v>82698.14</v>
      </c>
      <c r="I222" s="45">
        <f>SmtRes!AI86</f>
        <v>1.01</v>
      </c>
      <c r="J222" s="46">
        <f>ROUND(H222*I222, 2)</f>
        <v>83525.119999999995</v>
      </c>
      <c r="K222" s="45"/>
      <c r="L222" s="46">
        <f>SmtRes!DF86</f>
        <v>13.36</v>
      </c>
    </row>
    <row r="223" spans="1:83" ht="28.5" x14ac:dyDescent="0.2">
      <c r="A223" s="42"/>
      <c r="B223" s="42" t="s">
        <v>423</v>
      </c>
      <c r="C223" s="60" t="s">
        <v>425</v>
      </c>
      <c r="D223" s="52" t="s">
        <v>393</v>
      </c>
      <c r="E223" s="54">
        <v>8.0000000000000002E-3</v>
      </c>
      <c r="F223" s="54"/>
      <c r="G223" s="54">
        <f>SmtRes!CX87</f>
        <v>6.4000000000000001E-2</v>
      </c>
      <c r="H223" s="61">
        <f>SmtRes!CZ87</f>
        <v>3658.94</v>
      </c>
      <c r="I223" s="62">
        <f>SmtRes!AI87</f>
        <v>1.1000000000000001</v>
      </c>
      <c r="J223" s="61">
        <f>ROUND(H223*I223, 2)</f>
        <v>4024.83</v>
      </c>
      <c r="K223" s="62"/>
      <c r="L223" s="61">
        <f>SmtRes!DF87</f>
        <v>257.58999999999997</v>
      </c>
    </row>
    <row r="224" spans="1:83" ht="15" x14ac:dyDescent="0.2">
      <c r="A224" s="42"/>
      <c r="B224" s="42"/>
      <c r="C224" s="58" t="s">
        <v>509</v>
      </c>
      <c r="D224" s="43"/>
      <c r="E224" s="44"/>
      <c r="F224" s="44"/>
      <c r="G224" s="44"/>
      <c r="H224" s="46"/>
      <c r="I224" s="45"/>
      <c r="J224" s="46"/>
      <c r="K224" s="45"/>
      <c r="L224" s="46">
        <f>L208+L210+L211+L218</f>
        <v>91624.500000000029</v>
      </c>
    </row>
    <row r="225" spans="1:82" ht="14.25" x14ac:dyDescent="0.2">
      <c r="A225" s="42"/>
      <c r="B225" s="42"/>
      <c r="C225" s="42" t="s">
        <v>510</v>
      </c>
      <c r="D225" s="43"/>
      <c r="E225" s="44"/>
      <c r="F225" s="44"/>
      <c r="G225" s="44"/>
      <c r="H225" s="46"/>
      <c r="I225" s="45"/>
      <c r="J225" s="46"/>
      <c r="K225" s="45"/>
      <c r="L225" s="46">
        <f>SUM(AR207:AR228)+SUM(AS207:AS228)+SUM(AT207:AT228)+SUM(AU207:AU228)+SUM(AV207:AV228)</f>
        <v>33635.579999999994</v>
      </c>
    </row>
    <row r="226" spans="1:82" ht="28.5" x14ac:dyDescent="0.2">
      <c r="A226" s="42"/>
      <c r="B226" s="42" t="s">
        <v>45</v>
      </c>
      <c r="C226" s="42" t="s">
        <v>517</v>
      </c>
      <c r="D226" s="43" t="s">
        <v>365</v>
      </c>
      <c r="E226" s="44">
        <f>Source!BZ71</f>
        <v>97</v>
      </c>
      <c r="F226" s="44"/>
      <c r="G226" s="44">
        <f>Source!AT71</f>
        <v>97</v>
      </c>
      <c r="H226" s="46"/>
      <c r="I226" s="45"/>
      <c r="J226" s="46"/>
      <c r="K226" s="45"/>
      <c r="L226" s="46">
        <f>SUM(AZ207:AZ228)</f>
        <v>32626.51</v>
      </c>
    </row>
    <row r="227" spans="1:82" ht="28.5" x14ac:dyDescent="0.2">
      <c r="A227" s="60"/>
      <c r="B227" s="60" t="s">
        <v>46</v>
      </c>
      <c r="C227" s="60" t="s">
        <v>518</v>
      </c>
      <c r="D227" s="52" t="s">
        <v>365</v>
      </c>
      <c r="E227" s="54">
        <f>Source!CA71</f>
        <v>51</v>
      </c>
      <c r="F227" s="54"/>
      <c r="G227" s="54">
        <f>Source!AU71</f>
        <v>51</v>
      </c>
      <c r="H227" s="61"/>
      <c r="I227" s="62"/>
      <c r="J227" s="61"/>
      <c r="K227" s="62"/>
      <c r="L227" s="61">
        <f>SUM(BA207:BA228)</f>
        <v>17154.150000000001</v>
      </c>
    </row>
    <row r="228" spans="1:82" ht="15" x14ac:dyDescent="0.2">
      <c r="C228" s="113" t="s">
        <v>513</v>
      </c>
      <c r="D228" s="113"/>
      <c r="E228" s="113"/>
      <c r="F228" s="113"/>
      <c r="G228" s="113"/>
      <c r="H228" s="113"/>
      <c r="I228" s="114">
        <f>K228/E207</f>
        <v>17675.645000000004</v>
      </c>
      <c r="J228" s="114"/>
      <c r="K228" s="114">
        <f>L208+L210+L218+L226+L227+L211</f>
        <v>141405.16000000003</v>
      </c>
      <c r="L228" s="114"/>
      <c r="AD228">
        <f>ROUND((Source!AT71/100)*((ROUND(SUMIF(SmtRes!AQ78:'SmtRes'!AQ88,"=1",SmtRes!AD78:'SmtRes'!AD88)*Source!I71, 2)+ROUND(SUMIF(SmtRes!AQ78:'SmtRes'!AQ88,"=1",SmtRes!AC78:'SmtRes'!AC88)*Source!I71, 2))), 2)</f>
        <v>16132.26</v>
      </c>
      <c r="AE228">
        <f>ROUND((Source!AU71/100)*((ROUND(SUMIF(SmtRes!AQ78:'SmtRes'!AQ88,"=1",SmtRes!AD78:'SmtRes'!AD88)*Source!I71, 2)+ROUND(SUMIF(SmtRes!AQ78:'SmtRes'!AQ88,"=1",SmtRes!AC78:'SmtRes'!AC88)*Source!I71, 2))), 2)</f>
        <v>8481.91</v>
      </c>
      <c r="AN228" s="56">
        <f>L208+L210+L218+L226+L227+L211</f>
        <v>141405.16000000003</v>
      </c>
      <c r="AO228" s="56">
        <f>L210</f>
        <v>57408.180000000022</v>
      </c>
      <c r="AQ228" t="s">
        <v>514</v>
      </c>
      <c r="AR228" s="56">
        <f>L208</f>
        <v>16200.38</v>
      </c>
      <c r="AT228" s="56">
        <f>L211</f>
        <v>17435.199999999997</v>
      </c>
      <c r="AV228" t="s">
        <v>514</v>
      </c>
      <c r="AW228" s="56">
        <f>L218</f>
        <v>580.74</v>
      </c>
      <c r="AZ228">
        <f>Source!X71</f>
        <v>32626.51</v>
      </c>
      <c r="BA228">
        <f>Source!Y71</f>
        <v>17154.150000000001</v>
      </c>
      <c r="CD228">
        <v>2</v>
      </c>
    </row>
    <row r="230" spans="1:82" ht="15" x14ac:dyDescent="0.2">
      <c r="A230" s="65"/>
      <c r="B230" s="66"/>
      <c r="C230" s="115" t="s">
        <v>520</v>
      </c>
      <c r="D230" s="115"/>
      <c r="E230" s="115"/>
      <c r="F230" s="115"/>
      <c r="G230" s="115"/>
      <c r="H230" s="115"/>
      <c r="I230" s="50"/>
      <c r="J230" s="65"/>
      <c r="K230" s="67"/>
      <c r="L230" s="50">
        <f>L232+L233+L239+L243</f>
        <v>127337.69000000002</v>
      </c>
    </row>
    <row r="231" spans="1:82" ht="14.25" x14ac:dyDescent="0.2">
      <c r="A231" s="59"/>
      <c r="B231" s="64"/>
      <c r="C231" s="116" t="s">
        <v>521</v>
      </c>
      <c r="D231" s="117"/>
      <c r="E231" s="117"/>
      <c r="F231" s="117"/>
      <c r="G231" s="117"/>
      <c r="H231" s="117"/>
      <c r="I231" s="46"/>
      <c r="J231" s="59"/>
      <c r="K231" s="44"/>
      <c r="L231" s="46"/>
    </row>
    <row r="232" spans="1:82" ht="14.25" x14ac:dyDescent="0.2">
      <c r="A232" s="59"/>
      <c r="B232" s="64"/>
      <c r="C232" s="117" t="s">
        <v>522</v>
      </c>
      <c r="D232" s="117"/>
      <c r="E232" s="117"/>
      <c r="F232" s="117"/>
      <c r="G232" s="117"/>
      <c r="H232" s="117"/>
      <c r="I232" s="46"/>
      <c r="J232" s="59"/>
      <c r="K232" s="44"/>
      <c r="L232" s="46">
        <f>SUM(AR145:AR228)</f>
        <v>42325.909999999996</v>
      </c>
    </row>
    <row r="233" spans="1:82" ht="14.25" hidden="1" x14ac:dyDescent="0.2">
      <c r="A233" s="59"/>
      <c r="B233" s="64"/>
      <c r="C233" s="117" t="s">
        <v>523</v>
      </c>
      <c r="D233" s="117"/>
      <c r="E233" s="117"/>
      <c r="F233" s="117"/>
      <c r="G233" s="117"/>
      <c r="H233" s="117"/>
      <c r="I233" s="46"/>
      <c r="J233" s="59"/>
      <c r="K233" s="44"/>
      <c r="L233" s="46">
        <f>L235+L238+L237</f>
        <v>81856.290000000023</v>
      </c>
    </row>
    <row r="234" spans="1:82" ht="14.25" hidden="1" x14ac:dyDescent="0.2">
      <c r="A234" s="59"/>
      <c r="B234" s="64"/>
      <c r="C234" s="116" t="s">
        <v>524</v>
      </c>
      <c r="D234" s="117"/>
      <c r="E234" s="117"/>
      <c r="F234" s="117"/>
      <c r="G234" s="117"/>
      <c r="H234" s="117"/>
      <c r="I234" s="46"/>
      <c r="J234" s="59"/>
      <c r="K234" s="44"/>
      <c r="L234" s="46"/>
    </row>
    <row r="235" spans="1:82" ht="14.25" x14ac:dyDescent="0.2">
      <c r="A235" s="59"/>
      <c r="B235" s="64"/>
      <c r="C235" s="117" t="s">
        <v>523</v>
      </c>
      <c r="D235" s="117"/>
      <c r="E235" s="117"/>
      <c r="F235" s="117"/>
      <c r="G235" s="117"/>
      <c r="H235" s="117"/>
      <c r="I235" s="46"/>
      <c r="J235" s="59"/>
      <c r="K235" s="44"/>
      <c r="L235" s="46">
        <f>SUM(AO145:AO228)</f>
        <v>61131.270000000026</v>
      </c>
    </row>
    <row r="236" spans="1:82" ht="14.25" hidden="1" x14ac:dyDescent="0.2">
      <c r="A236" s="59"/>
      <c r="B236" s="64"/>
      <c r="C236" s="116" t="s">
        <v>525</v>
      </c>
      <c r="D236" s="117"/>
      <c r="E236" s="117"/>
      <c r="F236" s="117"/>
      <c r="G236" s="117"/>
      <c r="H236" s="117"/>
      <c r="I236" s="46"/>
      <c r="J236" s="59"/>
      <c r="K236" s="44"/>
      <c r="L236" s="46"/>
    </row>
    <row r="237" spans="1:82" ht="14.25" x14ac:dyDescent="0.2">
      <c r="A237" s="59"/>
      <c r="B237" s="64"/>
      <c r="C237" s="117" t="s">
        <v>545</v>
      </c>
      <c r="D237" s="117"/>
      <c r="E237" s="117"/>
      <c r="F237" s="117"/>
      <c r="G237" s="117"/>
      <c r="H237" s="117"/>
      <c r="I237" s="46"/>
      <c r="J237" s="59"/>
      <c r="K237" s="44"/>
      <c r="L237" s="46">
        <f>SUM(AT145:AT228)</f>
        <v>20725.019999999997</v>
      </c>
    </row>
    <row r="238" spans="1:82" ht="14.25" hidden="1" x14ac:dyDescent="0.2">
      <c r="A238" s="59"/>
      <c r="B238" s="64"/>
      <c r="C238" s="117" t="s">
        <v>526</v>
      </c>
      <c r="D238" s="117"/>
      <c r="E238" s="117"/>
      <c r="F238" s="117"/>
      <c r="G238" s="117"/>
      <c r="H238" s="117"/>
      <c r="I238" s="46"/>
      <c r="J238" s="59"/>
      <c r="K238" s="44"/>
      <c r="L238" s="46">
        <f>SUM(AV145:AV228)</f>
        <v>0</v>
      </c>
    </row>
    <row r="239" spans="1:82" ht="14.25" x14ac:dyDescent="0.2">
      <c r="A239" s="59"/>
      <c r="B239" s="64"/>
      <c r="C239" s="117" t="s">
        <v>527</v>
      </c>
      <c r="D239" s="117"/>
      <c r="E239" s="117"/>
      <c r="F239" s="117"/>
      <c r="G239" s="117"/>
      <c r="H239" s="117"/>
      <c r="I239" s="46"/>
      <c r="J239" s="59"/>
      <c r="K239" s="44"/>
      <c r="L239" s="46">
        <f>L241+L242</f>
        <v>3155.49</v>
      </c>
    </row>
    <row r="240" spans="1:82" ht="14.25" x14ac:dyDescent="0.2">
      <c r="A240" s="59"/>
      <c r="B240" s="64"/>
      <c r="C240" s="116" t="s">
        <v>524</v>
      </c>
      <c r="D240" s="117"/>
      <c r="E240" s="117"/>
      <c r="F240" s="117"/>
      <c r="G240" s="117"/>
      <c r="H240" s="117"/>
      <c r="I240" s="46"/>
      <c r="J240" s="59"/>
      <c r="K240" s="44"/>
      <c r="L240" s="46"/>
    </row>
    <row r="241" spans="1:12" ht="14.25" x14ac:dyDescent="0.2">
      <c r="A241" s="59"/>
      <c r="B241" s="64"/>
      <c r="C241" s="117" t="s">
        <v>528</v>
      </c>
      <c r="D241" s="117"/>
      <c r="E241" s="117"/>
      <c r="F241" s="117"/>
      <c r="G241" s="117"/>
      <c r="H241" s="117"/>
      <c r="I241" s="46"/>
      <c r="J241" s="59"/>
      <c r="K241" s="44"/>
      <c r="L241" s="46">
        <f>SUM(AW145:AW228)-SUM(BK145:BK228)</f>
        <v>3155.49</v>
      </c>
    </row>
    <row r="242" spans="1:12" ht="14.25" hidden="1" x14ac:dyDescent="0.2">
      <c r="A242" s="59"/>
      <c r="B242" s="64"/>
      <c r="C242" s="117" t="s">
        <v>529</v>
      </c>
      <c r="D242" s="117"/>
      <c r="E242" s="117"/>
      <c r="F242" s="117"/>
      <c r="G242" s="117"/>
      <c r="H242" s="117"/>
      <c r="I242" s="46"/>
      <c r="J242" s="59"/>
      <c r="K242" s="44"/>
      <c r="L242" s="46">
        <f>SUM(BC145:BC228)</f>
        <v>0</v>
      </c>
    </row>
    <row r="243" spans="1:12" ht="14.25" hidden="1" x14ac:dyDescent="0.2">
      <c r="A243" s="59"/>
      <c r="B243" s="64"/>
      <c r="C243" s="117" t="s">
        <v>530</v>
      </c>
      <c r="D243" s="117"/>
      <c r="E243" s="117"/>
      <c r="F243" s="117"/>
      <c r="G243" s="117"/>
      <c r="H243" s="117"/>
      <c r="I243" s="46"/>
      <c r="J243" s="59"/>
      <c r="K243" s="44"/>
      <c r="L243" s="46">
        <f>SUM(BB145:BB228)</f>
        <v>0</v>
      </c>
    </row>
    <row r="244" spans="1:12" ht="14.25" x14ac:dyDescent="0.2">
      <c r="A244" s="59"/>
      <c r="B244" s="64"/>
      <c r="C244" s="117" t="s">
        <v>531</v>
      </c>
      <c r="D244" s="117"/>
      <c r="E244" s="117"/>
      <c r="F244" s="117"/>
      <c r="G244" s="117"/>
      <c r="H244" s="117"/>
      <c r="I244" s="46"/>
      <c r="J244" s="59"/>
      <c r="K244" s="44"/>
      <c r="L244" s="46">
        <f>SUM(AR145:AR228)+SUM(AT145:AT228)+SUM(AV145:AV228)</f>
        <v>63050.929999999993</v>
      </c>
    </row>
    <row r="245" spans="1:12" ht="14.25" x14ac:dyDescent="0.2">
      <c r="A245" s="59"/>
      <c r="B245" s="64"/>
      <c r="C245" s="117" t="s">
        <v>532</v>
      </c>
      <c r="D245" s="117"/>
      <c r="E245" s="117"/>
      <c r="F245" s="117"/>
      <c r="G245" s="117"/>
      <c r="H245" s="117"/>
      <c r="I245" s="46"/>
      <c r="J245" s="59"/>
      <c r="K245" s="44"/>
      <c r="L245" s="46">
        <f>SUM(AZ145:AZ228)</f>
        <v>62383.259999999995</v>
      </c>
    </row>
    <row r="246" spans="1:12" ht="14.25" x14ac:dyDescent="0.2">
      <c r="A246" s="59"/>
      <c r="B246" s="64"/>
      <c r="C246" s="117" t="s">
        <v>533</v>
      </c>
      <c r="D246" s="117"/>
      <c r="E246" s="117"/>
      <c r="F246" s="117"/>
      <c r="G246" s="117"/>
      <c r="H246" s="117"/>
      <c r="I246" s="46"/>
      <c r="J246" s="59"/>
      <c r="K246" s="44"/>
      <c r="L246" s="46">
        <f>SUM(BA145:BA228)</f>
        <v>33991.78</v>
      </c>
    </row>
    <row r="247" spans="1:12" ht="14.25" hidden="1" x14ac:dyDescent="0.2">
      <c r="A247" s="59"/>
      <c r="B247" s="64"/>
      <c r="C247" s="117" t="s">
        <v>534</v>
      </c>
      <c r="D247" s="117"/>
      <c r="E247" s="117"/>
      <c r="F247" s="117"/>
      <c r="G247" s="117"/>
      <c r="H247" s="117"/>
      <c r="I247" s="46"/>
      <c r="J247" s="59"/>
      <c r="K247" s="44"/>
      <c r="L247" s="46">
        <f>L249+L250</f>
        <v>0</v>
      </c>
    </row>
    <row r="248" spans="1:12" ht="14.25" hidden="1" x14ac:dyDescent="0.2">
      <c r="A248" s="59"/>
      <c r="B248" s="64"/>
      <c r="C248" s="116" t="s">
        <v>521</v>
      </c>
      <c r="D248" s="117"/>
      <c r="E248" s="117"/>
      <c r="F248" s="117"/>
      <c r="G248" s="117"/>
      <c r="H248" s="117"/>
      <c r="I248" s="46"/>
      <c r="J248" s="59"/>
      <c r="K248" s="44"/>
      <c r="L248" s="46"/>
    </row>
    <row r="249" spans="1:12" ht="14.25" hidden="1" x14ac:dyDescent="0.2">
      <c r="A249" s="59"/>
      <c r="B249" s="64"/>
      <c r="C249" s="117" t="s">
        <v>535</v>
      </c>
      <c r="D249" s="117"/>
      <c r="E249" s="117"/>
      <c r="F249" s="117"/>
      <c r="G249" s="117"/>
      <c r="H249" s="117"/>
      <c r="I249" s="46"/>
      <c r="J249" s="59"/>
      <c r="K249" s="44"/>
      <c r="L249" s="46">
        <f>SUM(BK145:BK228)</f>
        <v>0</v>
      </c>
    </row>
    <row r="250" spans="1:12" ht="14.25" hidden="1" x14ac:dyDescent="0.2">
      <c r="A250" s="59"/>
      <c r="B250" s="64"/>
      <c r="C250" s="117" t="s">
        <v>536</v>
      </c>
      <c r="D250" s="117"/>
      <c r="E250" s="117"/>
      <c r="F250" s="117"/>
      <c r="G250" s="117"/>
      <c r="H250" s="117"/>
      <c r="I250" s="46"/>
      <c r="J250" s="59"/>
      <c r="K250" s="44"/>
      <c r="L250" s="46">
        <f>SUM(BD145:BD228)</f>
        <v>0</v>
      </c>
    </row>
    <row r="251" spans="1:12" ht="14.25" hidden="1" x14ac:dyDescent="0.2">
      <c r="A251" s="59"/>
      <c r="B251" s="64"/>
      <c r="C251" s="117" t="s">
        <v>537</v>
      </c>
      <c r="D251" s="117"/>
      <c r="E251" s="117"/>
      <c r="F251" s="117"/>
      <c r="G251" s="117"/>
      <c r="H251" s="117"/>
      <c r="I251" s="46"/>
      <c r="J251" s="59"/>
      <c r="K251" s="44"/>
      <c r="L251" s="46"/>
    </row>
    <row r="252" spans="1:12" ht="14.25" hidden="1" x14ac:dyDescent="0.2">
      <c r="A252" s="59"/>
      <c r="B252" s="64"/>
      <c r="C252" s="117" t="s">
        <v>538</v>
      </c>
      <c r="D252" s="117"/>
      <c r="E252" s="117"/>
      <c r="F252" s="117"/>
      <c r="G252" s="117"/>
      <c r="H252" s="117"/>
      <c r="I252" s="46"/>
      <c r="J252" s="59"/>
      <c r="K252" s="44"/>
      <c r="L252" s="46">
        <f>SUM(BO145:BO228)</f>
        <v>0</v>
      </c>
    </row>
    <row r="253" spans="1:12" ht="15" x14ac:dyDescent="0.2">
      <c r="A253" s="65"/>
      <c r="B253" s="66"/>
      <c r="C253" s="115" t="s">
        <v>539</v>
      </c>
      <c r="D253" s="115"/>
      <c r="E253" s="115"/>
      <c r="F253" s="115"/>
      <c r="G253" s="115"/>
      <c r="H253" s="115"/>
      <c r="I253" s="50"/>
      <c r="J253" s="65"/>
      <c r="K253" s="67"/>
      <c r="L253" s="50">
        <f>L230+L245+L246+L247+L251+L252</f>
        <v>223712.73</v>
      </c>
    </row>
    <row r="254" spans="1:12" ht="14.25" x14ac:dyDescent="0.2">
      <c r="A254" s="59"/>
      <c r="B254" s="64"/>
      <c r="C254" s="116" t="s">
        <v>540</v>
      </c>
      <c r="D254" s="117"/>
      <c r="E254" s="117"/>
      <c r="F254" s="117"/>
      <c r="G254" s="117"/>
      <c r="H254" s="117"/>
      <c r="I254" s="46"/>
      <c r="J254" s="59"/>
      <c r="K254" s="44"/>
      <c r="L254" s="46"/>
    </row>
    <row r="255" spans="1:12" ht="14.25" hidden="1" x14ac:dyDescent="0.2">
      <c r="A255" s="59"/>
      <c r="B255" s="64"/>
      <c r="C255" s="117" t="s">
        <v>541</v>
      </c>
      <c r="D255" s="117"/>
      <c r="E255" s="117"/>
      <c r="F255" s="117"/>
      <c r="G255" s="117"/>
      <c r="H255" s="117"/>
      <c r="I255" s="46"/>
      <c r="J255" s="59"/>
      <c r="K255" s="44"/>
      <c r="L255" s="46">
        <f>SUM(AX145:AX228)</f>
        <v>0</v>
      </c>
    </row>
    <row r="256" spans="1:12" ht="14.25" hidden="1" x14ac:dyDescent="0.2">
      <c r="A256" s="59"/>
      <c r="B256" s="64"/>
      <c r="C256" s="117" t="s">
        <v>542</v>
      </c>
      <c r="D256" s="117"/>
      <c r="E256" s="117"/>
      <c r="F256" s="117"/>
      <c r="G256" s="117"/>
      <c r="H256" s="117"/>
      <c r="I256" s="46"/>
      <c r="J256" s="59"/>
      <c r="K256" s="44"/>
      <c r="L256" s="46">
        <f>SUM(AY145:AY228)</f>
        <v>0</v>
      </c>
    </row>
    <row r="257" spans="1:82" ht="14.25" x14ac:dyDescent="0.2">
      <c r="A257" s="59"/>
      <c r="B257" s="64"/>
      <c r="C257" s="117" t="s">
        <v>543</v>
      </c>
      <c r="D257" s="117"/>
      <c r="E257" s="117"/>
      <c r="F257" s="119"/>
      <c r="G257" s="49">
        <f>Source!F100</f>
        <v>95.775199999999998</v>
      </c>
      <c r="H257" s="59"/>
      <c r="I257" s="59"/>
      <c r="J257" s="59"/>
      <c r="K257" s="59"/>
      <c r="L257" s="59"/>
    </row>
    <row r="258" spans="1:82" ht="14.25" x14ac:dyDescent="0.2">
      <c r="A258" s="59"/>
      <c r="B258" s="64"/>
      <c r="C258" s="117" t="s">
        <v>544</v>
      </c>
      <c r="D258" s="117"/>
      <c r="E258" s="117"/>
      <c r="F258" s="119"/>
      <c r="G258" s="49">
        <f>Source!F101</f>
        <v>37.326900000000002</v>
      </c>
      <c r="H258" s="59"/>
      <c r="I258" s="59"/>
      <c r="J258" s="59"/>
      <c r="K258" s="59"/>
      <c r="L258" s="59"/>
    </row>
    <row r="261" spans="1:82" ht="16.5" x14ac:dyDescent="0.2">
      <c r="A261" s="118" t="s">
        <v>549</v>
      </c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</row>
    <row r="262" spans="1:82" ht="28.5" x14ac:dyDescent="0.2">
      <c r="A262" s="40" t="s">
        <v>150</v>
      </c>
      <c r="B262" s="42" t="str">
        <f>Source!F112</f>
        <v>21.2.01.01-0034</v>
      </c>
      <c r="C262" s="42" t="str">
        <f>Source!G112</f>
        <v>Провод самонесущий изолированный СИП-2 3х70+1х70-0,6/1</v>
      </c>
      <c r="D262" s="43" t="str">
        <f>Source!H112</f>
        <v>1000 м</v>
      </c>
      <c r="E262" s="44">
        <f>Source!K112</f>
        <v>0.214</v>
      </c>
      <c r="F262" s="44"/>
      <c r="G262" s="44">
        <f>Source!I112</f>
        <v>0.214</v>
      </c>
      <c r="H262" s="46">
        <f>Source!AL112</f>
        <v>194140.29</v>
      </c>
      <c r="I262" s="45">
        <f>IF(Source!BC112&lt;&gt; 0, Source!BC112, 1)</f>
        <v>1.38</v>
      </c>
      <c r="J262" s="46">
        <f>ROUND(H262*I262, 2)</f>
        <v>267913.59999999998</v>
      </c>
      <c r="K262" s="45"/>
      <c r="L262" s="46">
        <f>Source!P112</f>
        <v>57333.51</v>
      </c>
    </row>
    <row r="263" spans="1:82" x14ac:dyDescent="0.2">
      <c r="A263" s="68"/>
      <c r="B263" s="68"/>
      <c r="C263" s="69" t="str">
        <f>"Объем: "&amp;Source!I112&amp;"=214/"&amp;"1000"</f>
        <v>Объем: 0,214=214/1000</v>
      </c>
      <c r="D263" s="68"/>
      <c r="E263" s="68"/>
      <c r="F263" s="68"/>
      <c r="G263" s="68"/>
      <c r="H263" s="68"/>
      <c r="I263" s="68"/>
      <c r="J263" s="68"/>
      <c r="K263" s="68"/>
      <c r="L263" s="68"/>
    </row>
    <row r="264" spans="1:82" ht="15" x14ac:dyDescent="0.2">
      <c r="C264" s="113" t="s">
        <v>513</v>
      </c>
      <c r="D264" s="113"/>
      <c r="E264" s="113"/>
      <c r="F264" s="113"/>
      <c r="G264" s="113"/>
      <c r="H264" s="113"/>
      <c r="I264" s="114">
        <f>K264/E262</f>
        <v>267913.59813084116</v>
      </c>
      <c r="J264" s="114"/>
      <c r="K264" s="114">
        <f>L262</f>
        <v>57333.51</v>
      </c>
      <c r="L264" s="114"/>
      <c r="AD264">
        <f>ROUND((Source!AT112/100)*((ROUND(ROUND(Source!AO112,2)*Source!I112, 2)+ROUND(ROUND(Source!AN112,2)*Source!I112, 2))), 2)</f>
        <v>0</v>
      </c>
      <c r="AE264">
        <f>ROUND((Source!AU112/100)*((ROUND(ROUND(Source!AO112,2)*Source!I112, 2)+ROUND(ROUND(Source!AN112,2)*Source!I112, 2))), 2)</f>
        <v>0</v>
      </c>
      <c r="AN264" s="56">
        <f>L262</f>
        <v>57333.51</v>
      </c>
      <c r="AO264">
        <f>0</f>
        <v>0</v>
      </c>
      <c r="AQ264" t="s">
        <v>514</v>
      </c>
      <c r="AR264">
        <f>0</f>
        <v>0</v>
      </c>
      <c r="AT264">
        <f>0</f>
        <v>0</v>
      </c>
      <c r="AV264" t="s">
        <v>514</v>
      </c>
      <c r="AW264" s="56">
        <f>L262</f>
        <v>57333.51</v>
      </c>
      <c r="AZ264">
        <f>Source!X112</f>
        <v>0</v>
      </c>
      <c r="BA264">
        <f>Source!Y112</f>
        <v>0</v>
      </c>
      <c r="CD264">
        <v>2</v>
      </c>
    </row>
    <row r="265" spans="1:82" ht="14.25" x14ac:dyDescent="0.2">
      <c r="A265" s="40" t="s">
        <v>157</v>
      </c>
      <c r="B265" s="42" t="str">
        <f>Source!F113</f>
        <v>20.1.01.01-0011</v>
      </c>
      <c r="C265" s="42" t="str">
        <f>Source!G113</f>
        <v>Зажимы анкерные РА 2000</v>
      </c>
      <c r="D265" s="43" t="str">
        <f>Source!H113</f>
        <v>100 ШТ</v>
      </c>
      <c r="E265" s="44">
        <f>Source!K113</f>
        <v>0.06</v>
      </c>
      <c r="F265" s="44"/>
      <c r="G265" s="44">
        <f>Source!I113</f>
        <v>0.06</v>
      </c>
      <c r="H265" s="46">
        <f>Source!AL113</f>
        <v>67032.22</v>
      </c>
      <c r="I265" s="45">
        <f>IF(Source!BC113&lt;&gt; 0, Source!BC113, 1)</f>
        <v>1.04</v>
      </c>
      <c r="J265" s="46">
        <f>ROUND(H265*I265, 2)</f>
        <v>69713.509999999995</v>
      </c>
      <c r="K265" s="45"/>
      <c r="L265" s="46">
        <f>Source!P113</f>
        <v>4182.8100000000004</v>
      </c>
    </row>
    <row r="266" spans="1:82" x14ac:dyDescent="0.2">
      <c r="A266" s="68"/>
      <c r="B266" s="68"/>
      <c r="C266" s="69" t="str">
        <f>"Объем: "&amp;Source!I113&amp;"=6/"&amp;"100"</f>
        <v>Объем: 0,06=6/100</v>
      </c>
      <c r="D266" s="68"/>
      <c r="E266" s="68"/>
      <c r="F266" s="68"/>
      <c r="G266" s="68"/>
      <c r="H266" s="68"/>
      <c r="I266" s="68"/>
      <c r="J266" s="68"/>
      <c r="K266" s="68"/>
      <c r="L266" s="68"/>
    </row>
    <row r="267" spans="1:82" ht="15" x14ac:dyDescent="0.2">
      <c r="C267" s="113" t="s">
        <v>513</v>
      </c>
      <c r="D267" s="113"/>
      <c r="E267" s="113"/>
      <c r="F267" s="113"/>
      <c r="G267" s="113"/>
      <c r="H267" s="113"/>
      <c r="I267" s="114">
        <f>K267/E265</f>
        <v>69713.500000000015</v>
      </c>
      <c r="J267" s="114"/>
      <c r="K267" s="114">
        <f>L265</f>
        <v>4182.8100000000004</v>
      </c>
      <c r="L267" s="114"/>
      <c r="AD267">
        <f>ROUND((Source!AT113/100)*((ROUND(ROUND(Source!AO113,2)*Source!I113, 2)+ROUND(ROUND(Source!AN113,2)*Source!I113, 2))), 2)</f>
        <v>0</v>
      </c>
      <c r="AE267">
        <f>ROUND((Source!AU113/100)*((ROUND(ROUND(Source!AO113,2)*Source!I113, 2)+ROUND(ROUND(Source!AN113,2)*Source!I113, 2))), 2)</f>
        <v>0</v>
      </c>
      <c r="AN267" s="56">
        <f>L265</f>
        <v>4182.8100000000004</v>
      </c>
      <c r="AO267">
        <f>0</f>
        <v>0</v>
      </c>
      <c r="AQ267" t="s">
        <v>514</v>
      </c>
      <c r="AR267">
        <f>0</f>
        <v>0</v>
      </c>
      <c r="AT267">
        <f>0</f>
        <v>0</v>
      </c>
      <c r="AV267" t="s">
        <v>514</v>
      </c>
      <c r="AW267" s="56">
        <f>L265</f>
        <v>4182.8100000000004</v>
      </c>
      <c r="AZ267">
        <f>Source!X113</f>
        <v>0</v>
      </c>
      <c r="BA267">
        <f>Source!Y113</f>
        <v>0</v>
      </c>
      <c r="CD267">
        <v>2</v>
      </c>
    </row>
    <row r="268" spans="1:82" ht="14.25" x14ac:dyDescent="0.2">
      <c r="A268" s="40" t="s">
        <v>161</v>
      </c>
      <c r="B268" s="42" t="str">
        <f>Source!F114</f>
        <v>20.1.01.08-0019</v>
      </c>
      <c r="C268" s="42" t="str">
        <f>Source!G114</f>
        <v>Зажимы ответвительные Р645</v>
      </c>
      <c r="D268" s="43" t="str">
        <f>Source!H114</f>
        <v>100 ШТ</v>
      </c>
      <c r="E268" s="44">
        <f>Source!K114</f>
        <v>0.32</v>
      </c>
      <c r="F268" s="44"/>
      <c r="G268" s="44">
        <f>Source!I114</f>
        <v>0.32</v>
      </c>
      <c r="H268" s="46">
        <f>Source!AL114</f>
        <v>17429.98</v>
      </c>
      <c r="I268" s="45">
        <f>IF(Source!BC114&lt;&gt; 0, Source!BC114, 1)</f>
        <v>1.04</v>
      </c>
      <c r="J268" s="46">
        <f>ROUND(H268*I268, 2)</f>
        <v>18127.18</v>
      </c>
      <c r="K268" s="45"/>
      <c r="L268" s="46">
        <f>Source!P114</f>
        <v>5800.7</v>
      </c>
    </row>
    <row r="269" spans="1:82" x14ac:dyDescent="0.2">
      <c r="A269" s="68"/>
      <c r="B269" s="68"/>
      <c r="C269" s="69" t="str">
        <f>"Объем: "&amp;Source!I114&amp;"=32/"&amp;"100"</f>
        <v>Объем: 0,32=32/100</v>
      </c>
      <c r="D269" s="68"/>
      <c r="E269" s="68"/>
      <c r="F269" s="68"/>
      <c r="G269" s="68"/>
      <c r="H269" s="68"/>
      <c r="I269" s="68"/>
      <c r="J269" s="68"/>
      <c r="K269" s="68"/>
      <c r="L269" s="68"/>
    </row>
    <row r="270" spans="1:82" ht="15" x14ac:dyDescent="0.2">
      <c r="C270" s="113" t="s">
        <v>513</v>
      </c>
      <c r="D270" s="113"/>
      <c r="E270" s="113"/>
      <c r="F270" s="113"/>
      <c r="G270" s="113"/>
      <c r="H270" s="113"/>
      <c r="I270" s="114">
        <f>K270/E268</f>
        <v>18127.1875</v>
      </c>
      <c r="J270" s="114"/>
      <c r="K270" s="114">
        <f>L268</f>
        <v>5800.7</v>
      </c>
      <c r="L270" s="114"/>
      <c r="AD270">
        <f>ROUND((Source!AT114/100)*((ROUND(ROUND(Source!AO114,2)*Source!I114, 2)+ROUND(ROUND(Source!AN114,2)*Source!I114, 2))), 2)</f>
        <v>0</v>
      </c>
      <c r="AE270">
        <f>ROUND((Source!AU114/100)*((ROUND(ROUND(Source!AO114,2)*Source!I114, 2)+ROUND(ROUND(Source!AN114,2)*Source!I114, 2))), 2)</f>
        <v>0</v>
      </c>
      <c r="AN270" s="56">
        <f>L268</f>
        <v>5800.7</v>
      </c>
      <c r="AO270">
        <f>0</f>
        <v>0</v>
      </c>
      <c r="AQ270" t="s">
        <v>514</v>
      </c>
      <c r="AR270">
        <f>0</f>
        <v>0</v>
      </c>
      <c r="AT270">
        <f>0</f>
        <v>0</v>
      </c>
      <c r="AV270" t="s">
        <v>514</v>
      </c>
      <c r="AW270" s="56">
        <f>L268</f>
        <v>5800.7</v>
      </c>
      <c r="AZ270">
        <f>Source!X114</f>
        <v>0</v>
      </c>
      <c r="BA270">
        <f>Source!Y114</f>
        <v>0</v>
      </c>
      <c r="CD270">
        <v>2</v>
      </c>
    </row>
    <row r="271" spans="1:82" ht="14.25" x14ac:dyDescent="0.2">
      <c r="A271" s="40" t="s">
        <v>165</v>
      </c>
      <c r="B271" s="42" t="str">
        <f>Source!F115</f>
        <v>20.5.04.05-0007</v>
      </c>
      <c r="C271" s="42" t="str">
        <f>Source!G115</f>
        <v>Зажимы ответвительные Р481</v>
      </c>
      <c r="D271" s="43" t="str">
        <f>Source!H115</f>
        <v>100 ШТ</v>
      </c>
      <c r="E271" s="44">
        <f>Source!K115</f>
        <v>0.04</v>
      </c>
      <c r="F271" s="44"/>
      <c r="G271" s="44">
        <f>Source!I115</f>
        <v>0.04</v>
      </c>
      <c r="H271" s="46">
        <f>Source!AL115</f>
        <v>52850.19</v>
      </c>
      <c r="I271" s="45">
        <f>IF(Source!BC115&lt;&gt; 0, Source!BC115, 1)</f>
        <v>1.04</v>
      </c>
      <c r="J271" s="46">
        <f>ROUND(H271*I271, 2)</f>
        <v>54964.2</v>
      </c>
      <c r="K271" s="45"/>
      <c r="L271" s="46">
        <f>Source!P115</f>
        <v>2198.5700000000002</v>
      </c>
    </row>
    <row r="272" spans="1:82" x14ac:dyDescent="0.2">
      <c r="A272" s="68"/>
      <c r="B272" s="68"/>
      <c r="C272" s="69" t="str">
        <f>"Объем: "&amp;Source!I115&amp;"=4/"&amp;"100"</f>
        <v>Объем: 0,04=4/100</v>
      </c>
      <c r="D272" s="68"/>
      <c r="E272" s="68"/>
      <c r="F272" s="68"/>
      <c r="G272" s="68"/>
      <c r="H272" s="68"/>
      <c r="I272" s="68"/>
      <c r="J272" s="68"/>
      <c r="K272" s="68"/>
      <c r="L272" s="68"/>
    </row>
    <row r="273" spans="1:82" ht="15" x14ac:dyDescent="0.2">
      <c r="C273" s="113" t="s">
        <v>513</v>
      </c>
      <c r="D273" s="113"/>
      <c r="E273" s="113"/>
      <c r="F273" s="113"/>
      <c r="G273" s="113"/>
      <c r="H273" s="113"/>
      <c r="I273" s="114">
        <f>K273/E271</f>
        <v>54964.25</v>
      </c>
      <c r="J273" s="114"/>
      <c r="K273" s="114">
        <f>L271</f>
        <v>2198.5700000000002</v>
      </c>
      <c r="L273" s="114"/>
      <c r="AD273">
        <f>ROUND((Source!AT115/100)*((ROUND(ROUND(Source!AO115,2)*Source!I115, 2)+ROUND(ROUND(Source!AN115,2)*Source!I115, 2))), 2)</f>
        <v>0</v>
      </c>
      <c r="AE273">
        <f>ROUND((Source!AU115/100)*((ROUND(ROUND(Source!AO115,2)*Source!I115, 2)+ROUND(ROUND(Source!AN115,2)*Source!I115, 2))), 2)</f>
        <v>0</v>
      </c>
      <c r="AN273" s="56">
        <f>L271</f>
        <v>2198.5700000000002</v>
      </c>
      <c r="AO273">
        <f>0</f>
        <v>0</v>
      </c>
      <c r="AQ273" t="s">
        <v>514</v>
      </c>
      <c r="AR273">
        <f>0</f>
        <v>0</v>
      </c>
      <c r="AT273">
        <f>0</f>
        <v>0</v>
      </c>
      <c r="AV273" t="s">
        <v>514</v>
      </c>
      <c r="AW273" s="56">
        <f>L271</f>
        <v>2198.5700000000002</v>
      </c>
      <c r="AZ273">
        <f>Source!X115</f>
        <v>0</v>
      </c>
      <c r="BA273">
        <f>Source!Y115</f>
        <v>0</v>
      </c>
      <c r="CD273">
        <v>2</v>
      </c>
    </row>
    <row r="274" spans="1:82" ht="14.25" x14ac:dyDescent="0.2">
      <c r="A274" s="40" t="s">
        <v>169</v>
      </c>
      <c r="B274" s="42" t="str">
        <f>Source!F116</f>
        <v>20.5.04.05-0009</v>
      </c>
      <c r="C274" s="42" t="str">
        <f>Source!G116</f>
        <v>Зажимы ответвительные ОА-70-2</v>
      </c>
      <c r="D274" s="43" t="str">
        <f>Source!H116</f>
        <v>100 ШТ</v>
      </c>
      <c r="E274" s="44">
        <f>Source!K116</f>
        <v>0.08</v>
      </c>
      <c r="F274" s="44"/>
      <c r="G274" s="44">
        <f>Source!I116</f>
        <v>0.08</v>
      </c>
      <c r="H274" s="46">
        <f>Source!AL116</f>
        <v>81849.34</v>
      </c>
      <c r="I274" s="45">
        <f>IF(Source!BC116&lt;&gt; 0, Source!BC116, 1)</f>
        <v>1.04</v>
      </c>
      <c r="J274" s="46">
        <f>ROUND(H274*I274, 2)</f>
        <v>85123.31</v>
      </c>
      <c r="K274" s="45"/>
      <c r="L274" s="46">
        <f>Source!P116</f>
        <v>6809.86</v>
      </c>
    </row>
    <row r="275" spans="1:82" x14ac:dyDescent="0.2">
      <c r="A275" s="68"/>
      <c r="B275" s="68"/>
      <c r="C275" s="69" t="str">
        <f>"Объем: "&amp;Source!I116&amp;"=8/"&amp;"100"</f>
        <v>Объем: 0,08=8/100</v>
      </c>
      <c r="D275" s="68"/>
      <c r="E275" s="68"/>
      <c r="F275" s="68"/>
      <c r="G275" s="68"/>
      <c r="H275" s="68"/>
      <c r="I275" s="68"/>
      <c r="J275" s="68"/>
      <c r="K275" s="68"/>
      <c r="L275" s="68"/>
    </row>
    <row r="276" spans="1:82" ht="15" x14ac:dyDescent="0.2">
      <c r="C276" s="113" t="s">
        <v>513</v>
      </c>
      <c r="D276" s="113"/>
      <c r="E276" s="113"/>
      <c r="F276" s="113"/>
      <c r="G276" s="113"/>
      <c r="H276" s="113"/>
      <c r="I276" s="114">
        <f>K276/E274</f>
        <v>85123.25</v>
      </c>
      <c r="J276" s="114"/>
      <c r="K276" s="114">
        <f>L274</f>
        <v>6809.86</v>
      </c>
      <c r="L276" s="114"/>
      <c r="AD276">
        <f>ROUND((Source!AT116/100)*((ROUND(ROUND(Source!AO116,2)*Source!I116, 2)+ROUND(ROUND(Source!AN116,2)*Source!I116, 2))), 2)</f>
        <v>0</v>
      </c>
      <c r="AE276">
        <f>ROUND((Source!AU116/100)*((ROUND(ROUND(Source!AO116,2)*Source!I116, 2)+ROUND(ROUND(Source!AN116,2)*Source!I116, 2))), 2)</f>
        <v>0</v>
      </c>
      <c r="AN276" s="56">
        <f>L274</f>
        <v>6809.86</v>
      </c>
      <c r="AO276">
        <f>0</f>
        <v>0</v>
      </c>
      <c r="AQ276" t="s">
        <v>514</v>
      </c>
      <c r="AR276">
        <f>0</f>
        <v>0</v>
      </c>
      <c r="AT276">
        <f>0</f>
        <v>0</v>
      </c>
      <c r="AV276" t="s">
        <v>514</v>
      </c>
      <c r="AW276" s="56">
        <f>L274</f>
        <v>6809.86</v>
      </c>
      <c r="AZ276">
        <f>Source!X116</f>
        <v>0</v>
      </c>
      <c r="BA276">
        <f>Source!Y116</f>
        <v>0</v>
      </c>
      <c r="CD276">
        <v>2</v>
      </c>
    </row>
    <row r="277" spans="1:82" ht="14.25" x14ac:dyDescent="0.2">
      <c r="A277" s="70" t="s">
        <v>173</v>
      </c>
      <c r="B277" s="60" t="str">
        <f>Source!F117</f>
        <v>14.2.02.03-0019</v>
      </c>
      <c r="C277" s="60" t="str">
        <f>Source!G117</f>
        <v>Краска аэрозоль черная</v>
      </c>
      <c r="D277" s="52" t="str">
        <f>Source!H117</f>
        <v>кг</v>
      </c>
      <c r="E277" s="54">
        <f>Source!K117</f>
        <v>0.3</v>
      </c>
      <c r="F277" s="54"/>
      <c r="G277" s="54">
        <f>Source!I117</f>
        <v>0.3</v>
      </c>
      <c r="H277" s="61">
        <f>Source!AL117</f>
        <v>376.05</v>
      </c>
      <c r="I277" s="62">
        <f>IF(Source!BC117&lt;&gt; 0, Source!BC117, 1)</f>
        <v>1.87</v>
      </c>
      <c r="J277" s="61">
        <f>ROUND(H277*I277, 2)</f>
        <v>703.21</v>
      </c>
      <c r="K277" s="62"/>
      <c r="L277" s="61">
        <f>Source!P117</f>
        <v>210.96</v>
      </c>
    </row>
    <row r="278" spans="1:82" ht="15" x14ac:dyDescent="0.2">
      <c r="C278" s="113" t="s">
        <v>513</v>
      </c>
      <c r="D278" s="113"/>
      <c r="E278" s="113"/>
      <c r="F278" s="113"/>
      <c r="G278" s="113"/>
      <c r="H278" s="113"/>
      <c r="I278" s="114">
        <f>K278/E277</f>
        <v>703.2</v>
      </c>
      <c r="J278" s="114"/>
      <c r="K278" s="114">
        <f>L277</f>
        <v>210.96</v>
      </c>
      <c r="L278" s="114"/>
      <c r="AD278">
        <f>ROUND((Source!AT117/100)*((ROUND(ROUND(Source!AO117,2)*Source!I117, 2)+ROUND(ROUND(Source!AN117,2)*Source!I117, 2))), 2)</f>
        <v>0</v>
      </c>
      <c r="AE278">
        <f>ROUND((Source!AU117/100)*((ROUND(ROUND(Source!AO117,2)*Source!I117, 2)+ROUND(ROUND(Source!AN117,2)*Source!I117, 2))), 2)</f>
        <v>0</v>
      </c>
      <c r="AN278" s="56">
        <f>L277</f>
        <v>210.96</v>
      </c>
      <c r="AO278">
        <f>0</f>
        <v>0</v>
      </c>
      <c r="AQ278" t="s">
        <v>514</v>
      </c>
      <c r="AR278">
        <f>0</f>
        <v>0</v>
      </c>
      <c r="AT278">
        <f>0</f>
        <v>0</v>
      </c>
      <c r="AV278" t="s">
        <v>514</v>
      </c>
      <c r="AW278" s="56">
        <f>L277</f>
        <v>210.96</v>
      </c>
      <c r="AZ278">
        <f>Source!X117</f>
        <v>0</v>
      </c>
      <c r="BA278">
        <f>Source!Y117</f>
        <v>0</v>
      </c>
      <c r="CD278">
        <v>1</v>
      </c>
    </row>
    <row r="280" spans="1:82" ht="15" x14ac:dyDescent="0.2">
      <c r="A280" s="65"/>
      <c r="B280" s="66"/>
      <c r="C280" s="115" t="s">
        <v>520</v>
      </c>
      <c r="D280" s="115"/>
      <c r="E280" s="115"/>
      <c r="F280" s="115"/>
      <c r="G280" s="115"/>
      <c r="H280" s="115"/>
      <c r="I280" s="50"/>
      <c r="J280" s="65"/>
      <c r="K280" s="67"/>
      <c r="L280" s="50">
        <f>L282+L283+L289+L293</f>
        <v>76536.410000000018</v>
      </c>
    </row>
    <row r="281" spans="1:82" ht="14.25" x14ac:dyDescent="0.2">
      <c r="A281" s="59"/>
      <c r="B281" s="64"/>
      <c r="C281" s="116" t="s">
        <v>521</v>
      </c>
      <c r="D281" s="117"/>
      <c r="E281" s="117"/>
      <c r="F281" s="117"/>
      <c r="G281" s="117"/>
      <c r="H281" s="117"/>
      <c r="I281" s="46"/>
      <c r="J281" s="59"/>
      <c r="K281" s="44"/>
      <c r="L281" s="46"/>
    </row>
    <row r="282" spans="1:82" ht="14.25" hidden="1" x14ac:dyDescent="0.2">
      <c r="A282" s="59"/>
      <c r="B282" s="64"/>
      <c r="C282" s="117" t="s">
        <v>522</v>
      </c>
      <c r="D282" s="117"/>
      <c r="E282" s="117"/>
      <c r="F282" s="117"/>
      <c r="G282" s="117"/>
      <c r="H282" s="117"/>
      <c r="I282" s="46"/>
      <c r="J282" s="59"/>
      <c r="K282" s="44"/>
      <c r="L282" s="46">
        <f>SUM(AR261:AR278)</f>
        <v>0</v>
      </c>
    </row>
    <row r="283" spans="1:82" ht="14.25" hidden="1" x14ac:dyDescent="0.2">
      <c r="A283" s="59"/>
      <c r="B283" s="64"/>
      <c r="C283" s="117" t="s">
        <v>523</v>
      </c>
      <c r="D283" s="117"/>
      <c r="E283" s="117"/>
      <c r="F283" s="117"/>
      <c r="G283" s="117"/>
      <c r="H283" s="117"/>
      <c r="I283" s="46"/>
      <c r="J283" s="59"/>
      <c r="K283" s="44"/>
      <c r="L283" s="46">
        <f>L285+L288+L287</f>
        <v>0</v>
      </c>
    </row>
    <row r="284" spans="1:82" ht="14.25" hidden="1" x14ac:dyDescent="0.2">
      <c r="A284" s="59"/>
      <c r="B284" s="64"/>
      <c r="C284" s="116" t="s">
        <v>524</v>
      </c>
      <c r="D284" s="117"/>
      <c r="E284" s="117"/>
      <c r="F284" s="117"/>
      <c r="G284" s="117"/>
      <c r="H284" s="117"/>
      <c r="I284" s="46"/>
      <c r="J284" s="59"/>
      <c r="K284" s="44"/>
      <c r="L284" s="46"/>
    </row>
    <row r="285" spans="1:82" ht="14.25" hidden="1" x14ac:dyDescent="0.2">
      <c r="A285" s="59"/>
      <c r="B285" s="64"/>
      <c r="C285" s="117" t="s">
        <v>523</v>
      </c>
      <c r="D285" s="117"/>
      <c r="E285" s="117"/>
      <c r="F285" s="117"/>
      <c r="G285" s="117"/>
      <c r="H285" s="117"/>
      <c r="I285" s="46"/>
      <c r="J285" s="59"/>
      <c r="K285" s="44"/>
      <c r="L285" s="46">
        <f>SUM(AO261:AO278)</f>
        <v>0</v>
      </c>
    </row>
    <row r="286" spans="1:82" ht="14.25" hidden="1" x14ac:dyDescent="0.2">
      <c r="A286" s="59"/>
      <c r="B286" s="64"/>
      <c r="C286" s="116" t="s">
        <v>525</v>
      </c>
      <c r="D286" s="117"/>
      <c r="E286" s="117"/>
      <c r="F286" s="117"/>
      <c r="G286" s="117"/>
      <c r="H286" s="117"/>
      <c r="I286" s="46"/>
      <c r="J286" s="59"/>
      <c r="K286" s="44"/>
      <c r="L286" s="46"/>
    </row>
    <row r="287" spans="1:82" ht="14.25" hidden="1" x14ac:dyDescent="0.2">
      <c r="A287" s="59"/>
      <c r="B287" s="64"/>
      <c r="C287" s="117" t="s">
        <v>545</v>
      </c>
      <c r="D287" s="117"/>
      <c r="E287" s="117"/>
      <c r="F287" s="117"/>
      <c r="G287" s="117"/>
      <c r="H287" s="117"/>
      <c r="I287" s="46"/>
      <c r="J287" s="59"/>
      <c r="K287" s="44"/>
      <c r="L287" s="46">
        <f>SUM(AT261:AT278)</f>
        <v>0</v>
      </c>
    </row>
    <row r="288" spans="1:82" ht="14.25" hidden="1" x14ac:dyDescent="0.2">
      <c r="A288" s="59"/>
      <c r="B288" s="64"/>
      <c r="C288" s="117" t="s">
        <v>526</v>
      </c>
      <c r="D288" s="117"/>
      <c r="E288" s="117"/>
      <c r="F288" s="117"/>
      <c r="G288" s="117"/>
      <c r="H288" s="117"/>
      <c r="I288" s="46"/>
      <c r="J288" s="59"/>
      <c r="K288" s="44"/>
      <c r="L288" s="46">
        <f>SUM(AV261:AV278)</f>
        <v>0</v>
      </c>
    </row>
    <row r="289" spans="1:12" ht="14.25" x14ac:dyDescent="0.2">
      <c r="A289" s="59"/>
      <c r="B289" s="64"/>
      <c r="C289" s="117" t="s">
        <v>527</v>
      </c>
      <c r="D289" s="117"/>
      <c r="E289" s="117"/>
      <c r="F289" s="117"/>
      <c r="G289" s="117"/>
      <c r="H289" s="117"/>
      <c r="I289" s="46"/>
      <c r="J289" s="59"/>
      <c r="K289" s="44"/>
      <c r="L289" s="46">
        <f>L291+L292</f>
        <v>76536.410000000018</v>
      </c>
    </row>
    <row r="290" spans="1:12" ht="14.25" x14ac:dyDescent="0.2">
      <c r="A290" s="59"/>
      <c r="B290" s="64"/>
      <c r="C290" s="116" t="s">
        <v>524</v>
      </c>
      <c r="D290" s="117"/>
      <c r="E290" s="117"/>
      <c r="F290" s="117"/>
      <c r="G290" s="117"/>
      <c r="H290" s="117"/>
      <c r="I290" s="46"/>
      <c r="J290" s="59"/>
      <c r="K290" s="44"/>
      <c r="L290" s="46"/>
    </row>
    <row r="291" spans="1:12" ht="14.25" x14ac:dyDescent="0.2">
      <c r="A291" s="59"/>
      <c r="B291" s="64"/>
      <c r="C291" s="117" t="s">
        <v>528</v>
      </c>
      <c r="D291" s="117"/>
      <c r="E291" s="117"/>
      <c r="F291" s="117"/>
      <c r="G291" s="117"/>
      <c r="H291" s="117"/>
      <c r="I291" s="46"/>
      <c r="J291" s="59"/>
      <c r="K291" s="44"/>
      <c r="L291" s="46">
        <f>SUM(AW261:AW278)-SUM(BK261:BK278)</f>
        <v>76536.410000000018</v>
      </c>
    </row>
    <row r="292" spans="1:12" ht="14.25" hidden="1" x14ac:dyDescent="0.2">
      <c r="A292" s="59"/>
      <c r="B292" s="64"/>
      <c r="C292" s="117" t="s">
        <v>529</v>
      </c>
      <c r="D292" s="117"/>
      <c r="E292" s="117"/>
      <c r="F292" s="117"/>
      <c r="G292" s="117"/>
      <c r="H292" s="117"/>
      <c r="I292" s="46"/>
      <c r="J292" s="59"/>
      <c r="K292" s="44"/>
      <c r="L292" s="46">
        <f>SUM(BC261:BC278)</f>
        <v>0</v>
      </c>
    </row>
    <row r="293" spans="1:12" ht="14.25" hidden="1" x14ac:dyDescent="0.2">
      <c r="A293" s="59"/>
      <c r="B293" s="64"/>
      <c r="C293" s="117" t="s">
        <v>530</v>
      </c>
      <c r="D293" s="117"/>
      <c r="E293" s="117"/>
      <c r="F293" s="117"/>
      <c r="G293" s="117"/>
      <c r="H293" s="117"/>
      <c r="I293" s="46"/>
      <c r="J293" s="59"/>
      <c r="K293" s="44"/>
      <c r="L293" s="46">
        <f>SUM(BB261:BB278)</f>
        <v>0</v>
      </c>
    </row>
    <row r="294" spans="1:12" ht="14.25" hidden="1" x14ac:dyDescent="0.2">
      <c r="A294" s="59"/>
      <c r="B294" s="64"/>
      <c r="C294" s="117" t="s">
        <v>531</v>
      </c>
      <c r="D294" s="117"/>
      <c r="E294" s="117"/>
      <c r="F294" s="117"/>
      <c r="G294" s="117"/>
      <c r="H294" s="117"/>
      <c r="I294" s="46"/>
      <c r="J294" s="59"/>
      <c r="K294" s="44"/>
      <c r="L294" s="46">
        <f>SUM(AR261:AR278)+SUM(AT261:AT278)+SUM(AV261:AV278)</f>
        <v>0</v>
      </c>
    </row>
    <row r="295" spans="1:12" ht="14.25" hidden="1" x14ac:dyDescent="0.2">
      <c r="A295" s="59"/>
      <c r="B295" s="64"/>
      <c r="C295" s="117" t="s">
        <v>532</v>
      </c>
      <c r="D295" s="117"/>
      <c r="E295" s="117"/>
      <c r="F295" s="117"/>
      <c r="G295" s="117"/>
      <c r="H295" s="117"/>
      <c r="I295" s="46"/>
      <c r="J295" s="59"/>
      <c r="K295" s="44"/>
      <c r="L295" s="46">
        <f>SUM(AZ261:AZ278)</f>
        <v>0</v>
      </c>
    </row>
    <row r="296" spans="1:12" ht="14.25" hidden="1" x14ac:dyDescent="0.2">
      <c r="A296" s="59"/>
      <c r="B296" s="64"/>
      <c r="C296" s="117" t="s">
        <v>533</v>
      </c>
      <c r="D296" s="117"/>
      <c r="E296" s="117"/>
      <c r="F296" s="117"/>
      <c r="G296" s="117"/>
      <c r="H296" s="117"/>
      <c r="I296" s="46"/>
      <c r="J296" s="59"/>
      <c r="K296" s="44"/>
      <c r="L296" s="46">
        <f>SUM(BA261:BA278)</f>
        <v>0</v>
      </c>
    </row>
    <row r="297" spans="1:12" ht="14.25" hidden="1" x14ac:dyDescent="0.2">
      <c r="A297" s="59"/>
      <c r="B297" s="64"/>
      <c r="C297" s="117" t="s">
        <v>534</v>
      </c>
      <c r="D297" s="117"/>
      <c r="E297" s="117"/>
      <c r="F297" s="117"/>
      <c r="G297" s="117"/>
      <c r="H297" s="117"/>
      <c r="I297" s="46"/>
      <c r="J297" s="59"/>
      <c r="K297" s="44"/>
      <c r="L297" s="46">
        <f>L299+L300</f>
        <v>0</v>
      </c>
    </row>
    <row r="298" spans="1:12" ht="14.25" hidden="1" x14ac:dyDescent="0.2">
      <c r="A298" s="59"/>
      <c r="B298" s="64"/>
      <c r="C298" s="116" t="s">
        <v>521</v>
      </c>
      <c r="D298" s="117"/>
      <c r="E298" s="117"/>
      <c r="F298" s="117"/>
      <c r="G298" s="117"/>
      <c r="H298" s="117"/>
      <c r="I298" s="46"/>
      <c r="J298" s="59"/>
      <c r="K298" s="44"/>
      <c r="L298" s="46"/>
    </row>
    <row r="299" spans="1:12" ht="14.25" hidden="1" x14ac:dyDescent="0.2">
      <c r="A299" s="59"/>
      <c r="B299" s="64"/>
      <c r="C299" s="117" t="s">
        <v>535</v>
      </c>
      <c r="D299" s="117"/>
      <c r="E299" s="117"/>
      <c r="F299" s="117"/>
      <c r="G299" s="117"/>
      <c r="H299" s="117"/>
      <c r="I299" s="46"/>
      <c r="J299" s="59"/>
      <c r="K299" s="44"/>
      <c r="L299" s="46">
        <f>SUM(BK261:BK278)</f>
        <v>0</v>
      </c>
    </row>
    <row r="300" spans="1:12" ht="14.25" hidden="1" x14ac:dyDescent="0.2">
      <c r="A300" s="59"/>
      <c r="B300" s="64"/>
      <c r="C300" s="117" t="s">
        <v>536</v>
      </c>
      <c r="D300" s="117"/>
      <c r="E300" s="117"/>
      <c r="F300" s="117"/>
      <c r="G300" s="117"/>
      <c r="H300" s="117"/>
      <c r="I300" s="46"/>
      <c r="J300" s="59"/>
      <c r="K300" s="44"/>
      <c r="L300" s="46">
        <f>SUM(BD261:BD278)</f>
        <v>0</v>
      </c>
    </row>
    <row r="301" spans="1:12" ht="14.25" hidden="1" x14ac:dyDescent="0.2">
      <c r="A301" s="59"/>
      <c r="B301" s="64"/>
      <c r="C301" s="117" t="s">
        <v>537</v>
      </c>
      <c r="D301" s="117"/>
      <c r="E301" s="117"/>
      <c r="F301" s="117"/>
      <c r="G301" s="117"/>
      <c r="H301" s="117"/>
      <c r="I301" s="46"/>
      <c r="J301" s="59"/>
      <c r="K301" s="44"/>
      <c r="L301" s="46"/>
    </row>
    <row r="302" spans="1:12" ht="14.25" hidden="1" x14ac:dyDescent="0.2">
      <c r="A302" s="59"/>
      <c r="B302" s="64"/>
      <c r="C302" s="117" t="s">
        <v>538</v>
      </c>
      <c r="D302" s="117"/>
      <c r="E302" s="117"/>
      <c r="F302" s="117"/>
      <c r="G302" s="117"/>
      <c r="H302" s="117"/>
      <c r="I302" s="46"/>
      <c r="J302" s="59"/>
      <c r="K302" s="44"/>
      <c r="L302" s="46">
        <f>SUM(BO261:BO278)</f>
        <v>0</v>
      </c>
    </row>
    <row r="303" spans="1:12" ht="15" x14ac:dyDescent="0.2">
      <c r="A303" s="65"/>
      <c r="B303" s="66"/>
      <c r="C303" s="115" t="s">
        <v>539</v>
      </c>
      <c r="D303" s="115"/>
      <c r="E303" s="115"/>
      <c r="F303" s="115"/>
      <c r="G303" s="115"/>
      <c r="H303" s="115"/>
      <c r="I303" s="50"/>
      <c r="J303" s="65"/>
      <c r="K303" s="67"/>
      <c r="L303" s="50">
        <f>L280+L295+L296+L297+L301+L302</f>
        <v>76536.410000000018</v>
      </c>
    </row>
    <row r="304" spans="1:12" ht="14.25" hidden="1" x14ac:dyDescent="0.2">
      <c r="A304" s="59"/>
      <c r="B304" s="64"/>
      <c r="C304" s="116" t="s">
        <v>540</v>
      </c>
      <c r="D304" s="117"/>
      <c r="E304" s="117"/>
      <c r="F304" s="117"/>
      <c r="G304" s="117"/>
      <c r="H304" s="117"/>
      <c r="I304" s="46"/>
      <c r="J304" s="59"/>
      <c r="K304" s="44"/>
      <c r="L304" s="46"/>
    </row>
    <row r="305" spans="1:82" ht="14.25" hidden="1" x14ac:dyDescent="0.2">
      <c r="A305" s="59"/>
      <c r="B305" s="64"/>
      <c r="C305" s="117" t="s">
        <v>541</v>
      </c>
      <c r="D305" s="117"/>
      <c r="E305" s="117"/>
      <c r="F305" s="117"/>
      <c r="G305" s="117"/>
      <c r="H305" s="117"/>
      <c r="I305" s="46"/>
      <c r="J305" s="59"/>
      <c r="K305" s="44"/>
      <c r="L305" s="46">
        <f>SUM(AX261:AX278)</f>
        <v>0</v>
      </c>
    </row>
    <row r="306" spans="1:82" ht="14.25" hidden="1" x14ac:dyDescent="0.2">
      <c r="A306" s="59"/>
      <c r="B306" s="64"/>
      <c r="C306" s="117" t="s">
        <v>542</v>
      </c>
      <c r="D306" s="117"/>
      <c r="E306" s="117"/>
      <c r="F306" s="117"/>
      <c r="G306" s="117"/>
      <c r="H306" s="117"/>
      <c r="I306" s="46"/>
      <c r="J306" s="59"/>
      <c r="K306" s="44"/>
      <c r="L306" s="46">
        <f>SUM(AY261:AY278)</f>
        <v>0</v>
      </c>
    </row>
    <row r="307" spans="1:82" ht="14.25" hidden="1" customHeight="1" x14ac:dyDescent="0.2">
      <c r="A307" s="59"/>
      <c r="B307" s="64"/>
      <c r="C307" s="117" t="s">
        <v>543</v>
      </c>
      <c r="D307" s="117"/>
      <c r="E307" s="117"/>
      <c r="F307" s="119"/>
      <c r="G307" s="49">
        <f>Source!F141</f>
        <v>0</v>
      </c>
      <c r="H307" s="59"/>
      <c r="I307" s="59"/>
      <c r="J307" s="59"/>
      <c r="K307" s="59"/>
      <c r="L307" s="59"/>
    </row>
    <row r="308" spans="1:82" ht="14.25" hidden="1" customHeight="1" x14ac:dyDescent="0.2">
      <c r="A308" s="59"/>
      <c r="B308" s="64"/>
      <c r="C308" s="117" t="s">
        <v>544</v>
      </c>
      <c r="D308" s="117"/>
      <c r="E308" s="117"/>
      <c r="F308" s="119"/>
      <c r="G308" s="49">
        <f>Source!F142</f>
        <v>0</v>
      </c>
      <c r="H308" s="59"/>
      <c r="I308" s="59"/>
      <c r="J308" s="59"/>
      <c r="K308" s="59"/>
      <c r="L308" s="59"/>
    </row>
    <row r="311" spans="1:82" ht="16.5" x14ac:dyDescent="0.2">
      <c r="A311" s="118" t="s">
        <v>550</v>
      </c>
      <c r="B311" s="118"/>
      <c r="C311" s="118"/>
      <c r="D311" s="118"/>
      <c r="E311" s="118"/>
      <c r="F311" s="118"/>
      <c r="G311" s="118"/>
      <c r="H311" s="118"/>
      <c r="I311" s="118"/>
      <c r="J311" s="118"/>
      <c r="K311" s="118"/>
      <c r="L311" s="118"/>
    </row>
    <row r="312" spans="1:82" ht="57" x14ac:dyDescent="0.2">
      <c r="A312" s="40" t="s">
        <v>182</v>
      </c>
      <c r="B312" s="42" t="s">
        <v>551</v>
      </c>
      <c r="C312" s="42" t="str">
        <f>Source!G153</f>
        <v>Вырезка сухих ветвей деревьев лиственных пород диаметром: более 350 мм при количестве срезанных ветвей более 15</v>
      </c>
      <c r="D312" s="43" t="str">
        <f>Source!H153</f>
        <v>ШТ</v>
      </c>
      <c r="E312" s="44">
        <f>Source!K153</f>
        <v>20</v>
      </c>
      <c r="F312" s="44"/>
      <c r="G312" s="44">
        <f>Source!I153</f>
        <v>20</v>
      </c>
      <c r="H312" s="46"/>
      <c r="I312" s="45"/>
      <c r="J312" s="46"/>
      <c r="K312" s="45"/>
      <c r="L312" s="46"/>
    </row>
    <row r="313" spans="1:82" ht="15" x14ac:dyDescent="0.2">
      <c r="A313" s="41"/>
      <c r="B313" s="44">
        <v>1</v>
      </c>
      <c r="C313" s="41" t="s">
        <v>503</v>
      </c>
      <c r="D313" s="43" t="s">
        <v>324</v>
      </c>
      <c r="E313" s="49"/>
      <c r="F313" s="44"/>
      <c r="G313" s="49">
        <f>Source!U153</f>
        <v>43.8</v>
      </c>
      <c r="H313" s="44"/>
      <c r="I313" s="44"/>
      <c r="J313" s="44"/>
      <c r="K313" s="44"/>
      <c r="L313" s="50">
        <f>SUM(L314:L314)-SUMIF(CE314:CE314, 1, L314:L314)</f>
        <v>16788.54</v>
      </c>
    </row>
    <row r="314" spans="1:82" ht="28.5" x14ac:dyDescent="0.2">
      <c r="A314" s="42"/>
      <c r="B314" s="42" t="s">
        <v>452</v>
      </c>
      <c r="C314" s="60" t="s">
        <v>453</v>
      </c>
      <c r="D314" s="52" t="s">
        <v>324</v>
      </c>
      <c r="E314" s="54">
        <v>2.19</v>
      </c>
      <c r="F314" s="54"/>
      <c r="G314" s="54">
        <f>SmtRes!CX132</f>
        <v>43.8</v>
      </c>
      <c r="H314" s="61"/>
      <c r="I314" s="62"/>
      <c r="J314" s="61">
        <f>SmtRes!CZ132</f>
        <v>383.3</v>
      </c>
      <c r="K314" s="62"/>
      <c r="L314" s="61">
        <f>SmtRes!DI132</f>
        <v>16788.54</v>
      </c>
    </row>
    <row r="315" spans="1:82" ht="15" x14ac:dyDescent="0.2">
      <c r="A315" s="42"/>
      <c r="B315" s="42"/>
      <c r="C315" s="58" t="s">
        <v>509</v>
      </c>
      <c r="D315" s="43"/>
      <c r="E315" s="44"/>
      <c r="F315" s="44"/>
      <c r="G315" s="44"/>
      <c r="H315" s="46"/>
      <c r="I315" s="45"/>
      <c r="J315" s="46"/>
      <c r="K315" s="45"/>
      <c r="L315" s="46">
        <f>L313</f>
        <v>16788.54</v>
      </c>
    </row>
    <row r="316" spans="1:82" ht="14.25" x14ac:dyDescent="0.2">
      <c r="A316" s="42"/>
      <c r="B316" s="42"/>
      <c r="C316" s="42" t="s">
        <v>510</v>
      </c>
      <c r="D316" s="43"/>
      <c r="E316" s="44"/>
      <c r="F316" s="44"/>
      <c r="G316" s="44"/>
      <c r="H316" s="46"/>
      <c r="I316" s="45"/>
      <c r="J316" s="46"/>
      <c r="K316" s="45"/>
      <c r="L316" s="46">
        <f>SUM(AR312:AR319)+SUM(AS312:AS319)+SUM(AT312:AT319)+SUM(AU312:AU319)+SUM(AV312:AV319)</f>
        <v>16788.54</v>
      </c>
    </row>
    <row r="317" spans="1:82" ht="14.25" x14ac:dyDescent="0.2">
      <c r="A317" s="42"/>
      <c r="B317" s="42" t="s">
        <v>189</v>
      </c>
      <c r="C317" s="42" t="s">
        <v>552</v>
      </c>
      <c r="D317" s="43" t="s">
        <v>365</v>
      </c>
      <c r="E317" s="44">
        <f>Source!BZ153</f>
        <v>102</v>
      </c>
      <c r="F317" s="44"/>
      <c r="G317" s="44">
        <f>Source!AT153</f>
        <v>102</v>
      </c>
      <c r="H317" s="46"/>
      <c r="I317" s="45"/>
      <c r="J317" s="46"/>
      <c r="K317" s="45"/>
      <c r="L317" s="46">
        <f>SUM(AZ312:AZ319)</f>
        <v>17124.310000000001</v>
      </c>
    </row>
    <row r="318" spans="1:82" ht="14.25" x14ac:dyDescent="0.2">
      <c r="A318" s="60"/>
      <c r="B318" s="60" t="s">
        <v>190</v>
      </c>
      <c r="C318" s="60" t="s">
        <v>553</v>
      </c>
      <c r="D318" s="52" t="s">
        <v>365</v>
      </c>
      <c r="E318" s="54">
        <f>Source!CA153</f>
        <v>54</v>
      </c>
      <c r="F318" s="54"/>
      <c r="G318" s="54">
        <f>Source!AU153</f>
        <v>54</v>
      </c>
      <c r="H318" s="61"/>
      <c r="I318" s="62"/>
      <c r="J318" s="61"/>
      <c r="K318" s="62"/>
      <c r="L318" s="61">
        <f>SUM(BA312:BA319)</f>
        <v>9065.81</v>
      </c>
    </row>
    <row r="319" spans="1:82" ht="15" x14ac:dyDescent="0.2">
      <c r="C319" s="113" t="s">
        <v>513</v>
      </c>
      <c r="D319" s="113"/>
      <c r="E319" s="113"/>
      <c r="F319" s="113"/>
      <c r="G319" s="113"/>
      <c r="H319" s="113"/>
      <c r="I319" s="114">
        <f>K319/E312</f>
        <v>2148.933</v>
      </c>
      <c r="J319" s="114"/>
      <c r="K319" s="114">
        <f>L313+L317+L318</f>
        <v>42978.66</v>
      </c>
      <c r="L319" s="114"/>
      <c r="AD319">
        <f>ROUND((Source!AT153/100)*((ROUND(SUMIF(SmtRes!AQ132:'SmtRes'!AQ132,"=1",SmtRes!AD132:'SmtRes'!AD132)*Source!I153, 2)+ROUND(SUMIF(SmtRes!AQ132:'SmtRes'!AQ132,"=1",SmtRes!AC132:'SmtRes'!AC132)*Source!I153, 2))), 2)</f>
        <v>7819.32</v>
      </c>
      <c r="AE319">
        <f>ROUND((Source!AU153/100)*((ROUND(SUMIF(SmtRes!AQ132:'SmtRes'!AQ132,"=1",SmtRes!AD132:'SmtRes'!AD132)*Source!I153, 2)+ROUND(SUMIF(SmtRes!AQ132:'SmtRes'!AQ132,"=1",SmtRes!AC132:'SmtRes'!AC132)*Source!I153, 2))), 2)</f>
        <v>4139.6400000000003</v>
      </c>
      <c r="AN319" s="56">
        <f>L313+L317+L318</f>
        <v>42978.66</v>
      </c>
      <c r="AO319">
        <f>0</f>
        <v>0</v>
      </c>
      <c r="AQ319" t="s">
        <v>514</v>
      </c>
      <c r="AR319" s="56">
        <f>L313</f>
        <v>16788.54</v>
      </c>
      <c r="AT319">
        <f>0</f>
        <v>0</v>
      </c>
      <c r="AV319" t="s">
        <v>514</v>
      </c>
      <c r="AW319">
        <f>0</f>
        <v>0</v>
      </c>
      <c r="AZ319">
        <f>Source!X153</f>
        <v>17124.310000000001</v>
      </c>
      <c r="BA319">
        <f>Source!Y153</f>
        <v>9065.81</v>
      </c>
      <c r="CD319">
        <v>1</v>
      </c>
    </row>
    <row r="320" spans="1:82" ht="14.25" x14ac:dyDescent="0.2">
      <c r="A320" s="70" t="s">
        <v>191</v>
      </c>
      <c r="B320" s="60" t="str">
        <f>Source!F154</f>
        <v>91.12.02-011</v>
      </c>
      <c r="C320" s="60" t="str">
        <f>Source!G154</f>
        <v>Измельчитель ветвей деревьев</v>
      </c>
      <c r="D320" s="52" t="str">
        <f>Source!H154</f>
        <v>маш.-ч</v>
      </c>
      <c r="E320" s="54">
        <f>Source!K154</f>
        <v>32</v>
      </c>
      <c r="F320" s="54"/>
      <c r="G320" s="54">
        <f>Source!I154</f>
        <v>32</v>
      </c>
      <c r="H320" s="61">
        <f>Source!AM154</f>
        <v>166.09</v>
      </c>
      <c r="I320" s="62">
        <f>IF(Source!BB154&lt;&gt; 0, Source!BB154, 1)</f>
        <v>1.23</v>
      </c>
      <c r="J320" s="61">
        <f>ROUND(H320*I320, 2)</f>
        <v>204.29</v>
      </c>
      <c r="K320" s="62"/>
      <c r="L320" s="61">
        <f>Source!Q154</f>
        <v>6537.28</v>
      </c>
    </row>
    <row r="321" spans="1:82" ht="15" x14ac:dyDescent="0.2">
      <c r="C321" s="113" t="s">
        <v>513</v>
      </c>
      <c r="D321" s="113"/>
      <c r="E321" s="113"/>
      <c r="F321" s="113"/>
      <c r="G321" s="113"/>
      <c r="H321" s="113"/>
      <c r="I321" s="114">
        <f>K321/E320</f>
        <v>204.29</v>
      </c>
      <c r="J321" s="114"/>
      <c r="K321" s="114">
        <f>L320</f>
        <v>6537.28</v>
      </c>
      <c r="L321" s="114"/>
      <c r="AD321">
        <f>ROUND((Source!AT154/100)*((ROUND(ROUND(Source!AO154,2)*Source!I154, 2)+ROUND(ROUND(Source!AN154,2)*Source!I154, 2))), 2)</f>
        <v>0</v>
      </c>
      <c r="AE321">
        <f>ROUND((Source!AU154/100)*((ROUND(ROUND(Source!AO154,2)*Source!I154, 2)+ROUND(ROUND(Source!AN154,2)*Source!I154, 2))), 2)</f>
        <v>0</v>
      </c>
      <c r="AN321" s="56">
        <f>L320</f>
        <v>6537.28</v>
      </c>
      <c r="AO321" s="56">
        <f>L320</f>
        <v>6537.28</v>
      </c>
      <c r="AQ321" t="s">
        <v>514</v>
      </c>
      <c r="AR321">
        <f>0</f>
        <v>0</v>
      </c>
      <c r="AT321">
        <f>0</f>
        <v>0</v>
      </c>
      <c r="AV321" t="s">
        <v>514</v>
      </c>
      <c r="AW321">
        <f>0</f>
        <v>0</v>
      </c>
      <c r="AZ321">
        <f>Source!X154</f>
        <v>0</v>
      </c>
      <c r="BA321">
        <f>Source!Y154</f>
        <v>0</v>
      </c>
      <c r="CD321">
        <v>1</v>
      </c>
    </row>
    <row r="322" spans="1:82" ht="28.5" x14ac:dyDescent="0.2">
      <c r="A322" s="70" t="s">
        <v>198</v>
      </c>
      <c r="B322" s="60" t="s">
        <v>199</v>
      </c>
      <c r="C322" s="60" t="str">
        <f>Source!G155</f>
        <v>Погрузка в автотранспортное средство: дрова</v>
      </c>
      <c r="D322" s="52" t="str">
        <f>Source!H155</f>
        <v>1т груза</v>
      </c>
      <c r="E322" s="54">
        <f>Source!K155</f>
        <v>10</v>
      </c>
      <c r="F322" s="54"/>
      <c r="G322" s="54">
        <f>Source!I155</f>
        <v>10</v>
      </c>
      <c r="H322" s="61"/>
      <c r="I322" s="62"/>
      <c r="J322" s="61">
        <f>Source!AK155</f>
        <v>387.95</v>
      </c>
      <c r="K322" s="62"/>
      <c r="L322" s="61">
        <f>Source!HD155</f>
        <v>3879.5</v>
      </c>
    </row>
    <row r="323" spans="1:82" ht="15" x14ac:dyDescent="0.2">
      <c r="C323" s="113" t="s">
        <v>513</v>
      </c>
      <c r="D323" s="113"/>
      <c r="E323" s="113"/>
      <c r="F323" s="113"/>
      <c r="G323" s="113"/>
      <c r="H323" s="113"/>
      <c r="I323" s="114">
        <f>K323/E322</f>
        <v>387.95</v>
      </c>
      <c r="J323" s="114"/>
      <c r="K323" s="114">
        <f>L322</f>
        <v>3879.5</v>
      </c>
      <c r="L323" s="114"/>
      <c r="AD323">
        <f>ROUND((Source!AT155/100)*((ROUND(0*Source!I155, 2)+ROUND(0*Source!I155, 2))), 2)</f>
        <v>0</v>
      </c>
      <c r="AE323">
        <f>ROUND((Source!AU155/100)*((ROUND(0*Source!I155, 2)+ROUND(0*Source!I155, 2))), 2)</f>
        <v>0</v>
      </c>
      <c r="AN323" s="56">
        <f>L322</f>
        <v>3879.5</v>
      </c>
      <c r="AP323">
        <f>0</f>
        <v>0</v>
      </c>
      <c r="AQ323" t="s">
        <v>514</v>
      </c>
      <c r="AS323">
        <f>0</f>
        <v>0</v>
      </c>
      <c r="AU323">
        <f>0</f>
        <v>0</v>
      </c>
      <c r="AV323" t="s">
        <v>514</v>
      </c>
      <c r="AZ323">
        <f>Source!X155</f>
        <v>0</v>
      </c>
      <c r="BA323">
        <f>Source!Y155</f>
        <v>0</v>
      </c>
      <c r="BB323" s="56">
        <f>L322</f>
        <v>3879.5</v>
      </c>
      <c r="CD323">
        <v>1</v>
      </c>
    </row>
    <row r="324" spans="1:82" ht="28.5" x14ac:dyDescent="0.2">
      <c r="A324" s="70" t="s">
        <v>206</v>
      </c>
      <c r="B324" s="60" t="s">
        <v>207</v>
      </c>
      <c r="C324" s="60" t="str">
        <f>Source!G156</f>
        <v>Разгрузка с автотранспортного средства: дрова</v>
      </c>
      <c r="D324" s="52" t="str">
        <f>Source!H156</f>
        <v>1т груза</v>
      </c>
      <c r="E324" s="54">
        <f>Source!K156</f>
        <v>10</v>
      </c>
      <c r="F324" s="54"/>
      <c r="G324" s="54">
        <f>Source!I156</f>
        <v>10</v>
      </c>
      <c r="H324" s="61"/>
      <c r="I324" s="62"/>
      <c r="J324" s="61">
        <f>Source!AK156</f>
        <v>387.95</v>
      </c>
      <c r="K324" s="62"/>
      <c r="L324" s="61">
        <f>Source!HD156</f>
        <v>3879.5</v>
      </c>
    </row>
    <row r="325" spans="1:82" ht="15" x14ac:dyDescent="0.2">
      <c r="C325" s="113" t="s">
        <v>513</v>
      </c>
      <c r="D325" s="113"/>
      <c r="E325" s="113"/>
      <c r="F325" s="113"/>
      <c r="G325" s="113"/>
      <c r="H325" s="113"/>
      <c r="I325" s="114">
        <f>K325/E324</f>
        <v>387.95</v>
      </c>
      <c r="J325" s="114"/>
      <c r="K325" s="114">
        <f>L324</f>
        <v>3879.5</v>
      </c>
      <c r="L325" s="114"/>
      <c r="AD325">
        <f>ROUND((Source!AT156/100)*((ROUND(0*Source!I156, 2)+ROUND(0*Source!I156, 2))), 2)</f>
        <v>0</v>
      </c>
      <c r="AE325">
        <f>ROUND((Source!AU156/100)*((ROUND(0*Source!I156, 2)+ROUND(0*Source!I156, 2))), 2)</f>
        <v>0</v>
      </c>
      <c r="AN325" s="56">
        <f>L324</f>
        <v>3879.5</v>
      </c>
      <c r="AP325">
        <f>0</f>
        <v>0</v>
      </c>
      <c r="AQ325" t="s">
        <v>514</v>
      </c>
      <c r="AS325">
        <f>0</f>
        <v>0</v>
      </c>
      <c r="AU325">
        <f>0</f>
        <v>0</v>
      </c>
      <c r="AV325" t="s">
        <v>514</v>
      </c>
      <c r="AZ325">
        <f>Source!X156</f>
        <v>0</v>
      </c>
      <c r="BA325">
        <f>Source!Y156</f>
        <v>0</v>
      </c>
      <c r="BB325" s="56">
        <f>L324</f>
        <v>3879.5</v>
      </c>
      <c r="CD325">
        <v>1</v>
      </c>
    </row>
    <row r="326" spans="1:82" ht="28.5" x14ac:dyDescent="0.2">
      <c r="A326" s="70" t="s">
        <v>209</v>
      </c>
      <c r="B326" s="60" t="s">
        <v>210</v>
      </c>
      <c r="C326" s="60" t="str">
        <f>Source!G157</f>
        <v>Перевозка порубочных отходов, на расстояние 25 км</v>
      </c>
      <c r="D326" s="52" t="str">
        <f>Source!H157</f>
        <v>1т груза</v>
      </c>
      <c r="E326" s="54">
        <f>Source!K157</f>
        <v>10</v>
      </c>
      <c r="F326" s="54"/>
      <c r="G326" s="54">
        <f>Source!I157</f>
        <v>10</v>
      </c>
      <c r="H326" s="61"/>
      <c r="I326" s="62"/>
      <c r="J326" s="61">
        <f>Source!AK157</f>
        <v>417.23</v>
      </c>
      <c r="K326" s="62"/>
      <c r="L326" s="61">
        <f>Source!HD157</f>
        <v>4172.3</v>
      </c>
    </row>
    <row r="327" spans="1:82" ht="15" x14ac:dyDescent="0.2">
      <c r="C327" s="113" t="s">
        <v>513</v>
      </c>
      <c r="D327" s="113"/>
      <c r="E327" s="113"/>
      <c r="F327" s="113"/>
      <c r="G327" s="113"/>
      <c r="H327" s="113"/>
      <c r="I327" s="114">
        <f>K327/E326</f>
        <v>417.23</v>
      </c>
      <c r="J327" s="114"/>
      <c r="K327" s="114">
        <f>L326</f>
        <v>4172.3</v>
      </c>
      <c r="L327" s="114"/>
      <c r="AD327">
        <f>ROUND((Source!AT157/100)*((ROUND(0*Source!I157, 2)+ROUND(0*Source!I157, 2))), 2)</f>
        <v>0</v>
      </c>
      <c r="AE327">
        <f>ROUND((Source!AU157/100)*((ROUND(0*Source!I157, 2)+ROUND(0*Source!I157, 2))), 2)</f>
        <v>0</v>
      </c>
      <c r="AN327" s="56">
        <f>L326</f>
        <v>4172.3</v>
      </c>
      <c r="AP327">
        <f>0</f>
        <v>0</v>
      </c>
      <c r="AQ327" t="s">
        <v>514</v>
      </c>
      <c r="AS327">
        <f>0</f>
        <v>0</v>
      </c>
      <c r="AU327">
        <f>0</f>
        <v>0</v>
      </c>
      <c r="AV327" t="s">
        <v>514</v>
      </c>
      <c r="AZ327">
        <f>Source!X157</f>
        <v>0</v>
      </c>
      <c r="BA327">
        <f>Source!Y157</f>
        <v>0</v>
      </c>
      <c r="BB327" s="56">
        <f>L326</f>
        <v>4172.3</v>
      </c>
      <c r="CD327">
        <v>1</v>
      </c>
    </row>
    <row r="329" spans="1:82" ht="15" x14ac:dyDescent="0.2">
      <c r="A329" s="65"/>
      <c r="B329" s="66"/>
      <c r="C329" s="115" t="s">
        <v>520</v>
      </c>
      <c r="D329" s="115"/>
      <c r="E329" s="115"/>
      <c r="F329" s="115"/>
      <c r="G329" s="115"/>
      <c r="H329" s="115"/>
      <c r="I329" s="50"/>
      <c r="J329" s="65"/>
      <c r="K329" s="67"/>
      <c r="L329" s="50">
        <f>L331+L332+L338+L342</f>
        <v>35257.119999999995</v>
      </c>
    </row>
    <row r="330" spans="1:82" ht="14.25" x14ac:dyDescent="0.2">
      <c r="A330" s="59"/>
      <c r="B330" s="64"/>
      <c r="C330" s="116" t="s">
        <v>521</v>
      </c>
      <c r="D330" s="117"/>
      <c r="E330" s="117"/>
      <c r="F330" s="117"/>
      <c r="G330" s="117"/>
      <c r="H330" s="117"/>
      <c r="I330" s="46"/>
      <c r="J330" s="59"/>
      <c r="K330" s="44"/>
      <c r="L330" s="46"/>
    </row>
    <row r="331" spans="1:82" ht="14.25" x14ac:dyDescent="0.2">
      <c r="A331" s="59"/>
      <c r="B331" s="64"/>
      <c r="C331" s="117" t="s">
        <v>522</v>
      </c>
      <c r="D331" s="117"/>
      <c r="E331" s="117"/>
      <c r="F331" s="117"/>
      <c r="G331" s="117"/>
      <c r="H331" s="117"/>
      <c r="I331" s="46"/>
      <c r="J331" s="59"/>
      <c r="K331" s="44"/>
      <c r="L331" s="46">
        <f>SUM(AR311:AR327)</f>
        <v>16788.54</v>
      </c>
    </row>
    <row r="332" spans="1:82" ht="14.25" hidden="1" x14ac:dyDescent="0.2">
      <c r="A332" s="59"/>
      <c r="B332" s="64"/>
      <c r="C332" s="117" t="s">
        <v>523</v>
      </c>
      <c r="D332" s="117"/>
      <c r="E332" s="117"/>
      <c r="F332" s="117"/>
      <c r="G332" s="117"/>
      <c r="H332" s="117"/>
      <c r="I332" s="46"/>
      <c r="J332" s="59"/>
      <c r="K332" s="44"/>
      <c r="L332" s="46">
        <f>L334+L337+L336</f>
        <v>6537.28</v>
      </c>
    </row>
    <row r="333" spans="1:82" ht="14.25" hidden="1" x14ac:dyDescent="0.2">
      <c r="A333" s="59"/>
      <c r="B333" s="64"/>
      <c r="C333" s="116" t="s">
        <v>524</v>
      </c>
      <c r="D333" s="117"/>
      <c r="E333" s="117"/>
      <c r="F333" s="117"/>
      <c r="G333" s="117"/>
      <c r="H333" s="117"/>
      <c r="I333" s="46"/>
      <c r="J333" s="59"/>
      <c r="K333" s="44"/>
      <c r="L333" s="46"/>
    </row>
    <row r="334" spans="1:82" ht="14.25" x14ac:dyDescent="0.2">
      <c r="A334" s="59"/>
      <c r="B334" s="64"/>
      <c r="C334" s="117" t="s">
        <v>523</v>
      </c>
      <c r="D334" s="117"/>
      <c r="E334" s="117"/>
      <c r="F334" s="117"/>
      <c r="G334" s="117"/>
      <c r="H334" s="117"/>
      <c r="I334" s="46"/>
      <c r="J334" s="59"/>
      <c r="K334" s="44"/>
      <c r="L334" s="46">
        <f>SUM(AO311:AO327)</f>
        <v>6537.28</v>
      </c>
    </row>
    <row r="335" spans="1:82" ht="14.25" hidden="1" x14ac:dyDescent="0.2">
      <c r="A335" s="59"/>
      <c r="B335" s="64"/>
      <c r="C335" s="116" t="s">
        <v>525</v>
      </c>
      <c r="D335" s="117"/>
      <c r="E335" s="117"/>
      <c r="F335" s="117"/>
      <c r="G335" s="117"/>
      <c r="H335" s="117"/>
      <c r="I335" s="46"/>
      <c r="J335" s="59"/>
      <c r="K335" s="44"/>
      <c r="L335" s="46"/>
    </row>
    <row r="336" spans="1:82" ht="14.25" hidden="1" x14ac:dyDescent="0.2">
      <c r="A336" s="59"/>
      <c r="B336" s="64"/>
      <c r="C336" s="117" t="s">
        <v>545</v>
      </c>
      <c r="D336" s="117"/>
      <c r="E336" s="117"/>
      <c r="F336" s="117"/>
      <c r="G336" s="117"/>
      <c r="H336" s="117"/>
      <c r="I336" s="46"/>
      <c r="J336" s="59"/>
      <c r="K336" s="44"/>
      <c r="L336" s="46">
        <f>SUM(AT311:AT327)</f>
        <v>0</v>
      </c>
    </row>
    <row r="337" spans="1:12" ht="14.25" hidden="1" x14ac:dyDescent="0.2">
      <c r="A337" s="59"/>
      <c r="B337" s="64"/>
      <c r="C337" s="117" t="s">
        <v>526</v>
      </c>
      <c r="D337" s="117"/>
      <c r="E337" s="117"/>
      <c r="F337" s="117"/>
      <c r="G337" s="117"/>
      <c r="H337" s="117"/>
      <c r="I337" s="46"/>
      <c r="J337" s="59"/>
      <c r="K337" s="44"/>
      <c r="L337" s="46">
        <f>SUM(AV311:AV327)</f>
        <v>0</v>
      </c>
    </row>
    <row r="338" spans="1:12" ht="14.25" hidden="1" x14ac:dyDescent="0.2">
      <c r="A338" s="59"/>
      <c r="B338" s="64"/>
      <c r="C338" s="117" t="s">
        <v>527</v>
      </c>
      <c r="D338" s="117"/>
      <c r="E338" s="117"/>
      <c r="F338" s="117"/>
      <c r="G338" s="117"/>
      <c r="H338" s="117"/>
      <c r="I338" s="46"/>
      <c r="J338" s="59"/>
      <c r="K338" s="44"/>
      <c r="L338" s="46">
        <f>L340+L341</f>
        <v>0</v>
      </c>
    </row>
    <row r="339" spans="1:12" ht="14.25" hidden="1" x14ac:dyDescent="0.2">
      <c r="A339" s="59"/>
      <c r="B339" s="64"/>
      <c r="C339" s="116" t="s">
        <v>524</v>
      </c>
      <c r="D339" s="117"/>
      <c r="E339" s="117"/>
      <c r="F339" s="117"/>
      <c r="G339" s="117"/>
      <c r="H339" s="117"/>
      <c r="I339" s="46"/>
      <c r="J339" s="59"/>
      <c r="K339" s="44"/>
      <c r="L339" s="46"/>
    </row>
    <row r="340" spans="1:12" ht="14.25" hidden="1" x14ac:dyDescent="0.2">
      <c r="A340" s="59"/>
      <c r="B340" s="64"/>
      <c r="C340" s="117" t="s">
        <v>528</v>
      </c>
      <c r="D340" s="117"/>
      <c r="E340" s="117"/>
      <c r="F340" s="117"/>
      <c r="G340" s="117"/>
      <c r="H340" s="117"/>
      <c r="I340" s="46"/>
      <c r="J340" s="59"/>
      <c r="K340" s="44"/>
      <c r="L340" s="46">
        <f>SUM(AW311:AW327)-SUM(BK311:BK327)</f>
        <v>0</v>
      </c>
    </row>
    <row r="341" spans="1:12" ht="14.25" hidden="1" x14ac:dyDescent="0.2">
      <c r="A341" s="59"/>
      <c r="B341" s="64"/>
      <c r="C341" s="117" t="s">
        <v>529</v>
      </c>
      <c r="D341" s="117"/>
      <c r="E341" s="117"/>
      <c r="F341" s="117"/>
      <c r="G341" s="117"/>
      <c r="H341" s="117"/>
      <c r="I341" s="46"/>
      <c r="J341" s="59"/>
      <c r="K341" s="44"/>
      <c r="L341" s="46">
        <f>SUM(BC311:BC327)</f>
        <v>0</v>
      </c>
    </row>
    <row r="342" spans="1:12" ht="14.25" x14ac:dyDescent="0.2">
      <c r="A342" s="59"/>
      <c r="B342" s="64"/>
      <c r="C342" s="117" t="s">
        <v>530</v>
      </c>
      <c r="D342" s="117"/>
      <c r="E342" s="117"/>
      <c r="F342" s="117"/>
      <c r="G342" s="117"/>
      <c r="H342" s="117"/>
      <c r="I342" s="46"/>
      <c r="J342" s="59"/>
      <c r="K342" s="44"/>
      <c r="L342" s="46">
        <f>SUM(BB311:BB327)</f>
        <v>11931.3</v>
      </c>
    </row>
    <row r="343" spans="1:12" ht="14.25" x14ac:dyDescent="0.2">
      <c r="A343" s="59"/>
      <c r="B343" s="64"/>
      <c r="C343" s="117" t="s">
        <v>531</v>
      </c>
      <c r="D343" s="117"/>
      <c r="E343" s="117"/>
      <c r="F343" s="117"/>
      <c r="G343" s="117"/>
      <c r="H343" s="117"/>
      <c r="I343" s="46"/>
      <c r="J343" s="59"/>
      <c r="K343" s="44"/>
      <c r="L343" s="46">
        <f>SUM(AR311:AR327)+SUM(AT311:AT327)+SUM(AV311:AV327)</f>
        <v>16788.54</v>
      </c>
    </row>
    <row r="344" spans="1:12" ht="14.25" x14ac:dyDescent="0.2">
      <c r="A344" s="59"/>
      <c r="B344" s="64"/>
      <c r="C344" s="117" t="s">
        <v>532</v>
      </c>
      <c r="D344" s="117"/>
      <c r="E344" s="117"/>
      <c r="F344" s="117"/>
      <c r="G344" s="117"/>
      <c r="H344" s="117"/>
      <c r="I344" s="46"/>
      <c r="J344" s="59"/>
      <c r="K344" s="44"/>
      <c r="L344" s="46">
        <f>SUM(AZ311:AZ327)</f>
        <v>17124.310000000001</v>
      </c>
    </row>
    <row r="345" spans="1:12" ht="14.25" x14ac:dyDescent="0.2">
      <c r="A345" s="59"/>
      <c r="B345" s="64"/>
      <c r="C345" s="117" t="s">
        <v>533</v>
      </c>
      <c r="D345" s="117"/>
      <c r="E345" s="117"/>
      <c r="F345" s="117"/>
      <c r="G345" s="117"/>
      <c r="H345" s="117"/>
      <c r="I345" s="46"/>
      <c r="J345" s="59"/>
      <c r="K345" s="44"/>
      <c r="L345" s="46">
        <f>SUM(BA311:BA327)</f>
        <v>9065.81</v>
      </c>
    </row>
    <row r="346" spans="1:12" ht="14.25" hidden="1" x14ac:dyDescent="0.2">
      <c r="A346" s="59"/>
      <c r="B346" s="64"/>
      <c r="C346" s="117" t="s">
        <v>534</v>
      </c>
      <c r="D346" s="117"/>
      <c r="E346" s="117"/>
      <c r="F346" s="117"/>
      <c r="G346" s="117"/>
      <c r="H346" s="117"/>
      <c r="I346" s="46"/>
      <c r="J346" s="59"/>
      <c r="K346" s="44"/>
      <c r="L346" s="46">
        <f>L348+L349</f>
        <v>0</v>
      </c>
    </row>
    <row r="347" spans="1:12" ht="14.25" hidden="1" x14ac:dyDescent="0.2">
      <c r="A347" s="59"/>
      <c r="B347" s="64"/>
      <c r="C347" s="116" t="s">
        <v>521</v>
      </c>
      <c r="D347" s="117"/>
      <c r="E347" s="117"/>
      <c r="F347" s="117"/>
      <c r="G347" s="117"/>
      <c r="H347" s="117"/>
      <c r="I347" s="46"/>
      <c r="J347" s="59"/>
      <c r="K347" s="44"/>
      <c r="L347" s="46"/>
    </row>
    <row r="348" spans="1:12" ht="14.25" hidden="1" x14ac:dyDescent="0.2">
      <c r="A348" s="59"/>
      <c r="B348" s="64"/>
      <c r="C348" s="117" t="s">
        <v>535</v>
      </c>
      <c r="D348" s="117"/>
      <c r="E348" s="117"/>
      <c r="F348" s="117"/>
      <c r="G348" s="117"/>
      <c r="H348" s="117"/>
      <c r="I348" s="46"/>
      <c r="J348" s="59"/>
      <c r="K348" s="44"/>
      <c r="L348" s="46">
        <f>SUM(BK311:BK327)</f>
        <v>0</v>
      </c>
    </row>
    <row r="349" spans="1:12" ht="14.25" hidden="1" x14ac:dyDescent="0.2">
      <c r="A349" s="59"/>
      <c r="B349" s="64"/>
      <c r="C349" s="117" t="s">
        <v>536</v>
      </c>
      <c r="D349" s="117"/>
      <c r="E349" s="117"/>
      <c r="F349" s="117"/>
      <c r="G349" s="117"/>
      <c r="H349" s="117"/>
      <c r="I349" s="46"/>
      <c r="J349" s="59"/>
      <c r="K349" s="44"/>
      <c r="L349" s="46">
        <f>SUM(BD311:BD327)</f>
        <v>0</v>
      </c>
    </row>
    <row r="350" spans="1:12" ht="14.25" hidden="1" x14ac:dyDescent="0.2">
      <c r="A350" s="59"/>
      <c r="B350" s="64"/>
      <c r="C350" s="117" t="s">
        <v>537</v>
      </c>
      <c r="D350" s="117"/>
      <c r="E350" s="117"/>
      <c r="F350" s="117"/>
      <c r="G350" s="117"/>
      <c r="H350" s="117"/>
      <c r="I350" s="46"/>
      <c r="J350" s="59"/>
      <c r="K350" s="44"/>
      <c r="L350" s="46"/>
    </row>
    <row r="351" spans="1:12" ht="14.25" hidden="1" x14ac:dyDescent="0.2">
      <c r="A351" s="59"/>
      <c r="B351" s="64"/>
      <c r="C351" s="117" t="s">
        <v>538</v>
      </c>
      <c r="D351" s="117"/>
      <c r="E351" s="117"/>
      <c r="F351" s="117"/>
      <c r="G351" s="117"/>
      <c r="H351" s="117"/>
      <c r="I351" s="46"/>
      <c r="J351" s="59"/>
      <c r="K351" s="44"/>
      <c r="L351" s="46">
        <f>SUM(BO311:BO327)</f>
        <v>0</v>
      </c>
    </row>
    <row r="352" spans="1:12" ht="15" x14ac:dyDescent="0.2">
      <c r="A352" s="65"/>
      <c r="B352" s="66"/>
      <c r="C352" s="115" t="s">
        <v>539</v>
      </c>
      <c r="D352" s="115"/>
      <c r="E352" s="115"/>
      <c r="F352" s="115"/>
      <c r="G352" s="115"/>
      <c r="H352" s="115"/>
      <c r="I352" s="50"/>
      <c r="J352" s="65"/>
      <c r="K352" s="67"/>
      <c r="L352" s="50">
        <f>L329+L344+L345+L346+L350+L351</f>
        <v>61447.239999999991</v>
      </c>
    </row>
    <row r="353" spans="1:12" ht="14.25" x14ac:dyDescent="0.2">
      <c r="A353" s="59"/>
      <c r="B353" s="64"/>
      <c r="C353" s="116" t="s">
        <v>540</v>
      </c>
      <c r="D353" s="117"/>
      <c r="E353" s="117"/>
      <c r="F353" s="117"/>
      <c r="G353" s="117"/>
      <c r="H353" s="117"/>
      <c r="I353" s="46"/>
      <c r="J353" s="59"/>
      <c r="K353" s="44"/>
      <c r="L353" s="46"/>
    </row>
    <row r="354" spans="1:12" ht="14.25" hidden="1" x14ac:dyDescent="0.2">
      <c r="A354" s="59"/>
      <c r="B354" s="64"/>
      <c r="C354" s="117" t="s">
        <v>541</v>
      </c>
      <c r="D354" s="117"/>
      <c r="E354" s="117"/>
      <c r="F354" s="117"/>
      <c r="G354" s="117"/>
      <c r="H354" s="117"/>
      <c r="I354" s="46"/>
      <c r="J354" s="59"/>
      <c r="K354" s="44"/>
      <c r="L354" s="46">
        <f>SUM(AX311:AX327)</f>
        <v>0</v>
      </c>
    </row>
    <row r="355" spans="1:12" ht="14.25" hidden="1" x14ac:dyDescent="0.2">
      <c r="A355" s="59"/>
      <c r="B355" s="64"/>
      <c r="C355" s="117" t="s">
        <v>542</v>
      </c>
      <c r="D355" s="117"/>
      <c r="E355" s="117"/>
      <c r="F355" s="117"/>
      <c r="G355" s="117"/>
      <c r="H355" s="117"/>
      <c r="I355" s="46"/>
      <c r="J355" s="59"/>
      <c r="K355" s="44"/>
      <c r="L355" s="46">
        <f>SUM(AY311:AY327)</f>
        <v>0</v>
      </c>
    </row>
    <row r="356" spans="1:12" ht="14.25" x14ac:dyDescent="0.2">
      <c r="A356" s="59"/>
      <c r="B356" s="64"/>
      <c r="C356" s="117" t="s">
        <v>543</v>
      </c>
      <c r="D356" s="117"/>
      <c r="E356" s="117"/>
      <c r="F356" s="119"/>
      <c r="G356" s="49">
        <f>Source!F181</f>
        <v>43.8</v>
      </c>
      <c r="H356" s="59"/>
      <c r="I356" s="59"/>
      <c r="J356" s="59"/>
      <c r="K356" s="59"/>
      <c r="L356" s="59"/>
    </row>
    <row r="357" spans="1:12" ht="14.25" hidden="1" customHeight="1" x14ac:dyDescent="0.2">
      <c r="A357" s="59"/>
      <c r="B357" s="64"/>
      <c r="C357" s="117" t="s">
        <v>544</v>
      </c>
      <c r="D357" s="117"/>
      <c r="E357" s="117"/>
      <c r="F357" s="119"/>
      <c r="G357" s="49">
        <f>Source!F182</f>
        <v>0</v>
      </c>
      <c r="H357" s="59"/>
      <c r="I357" s="59"/>
      <c r="J357" s="59"/>
      <c r="K357" s="59"/>
      <c r="L357" s="59"/>
    </row>
    <row r="360" spans="1:12" ht="16.5" x14ac:dyDescent="0.2">
      <c r="A360" s="118" t="s">
        <v>554</v>
      </c>
      <c r="B360" s="118"/>
      <c r="C360" s="118"/>
      <c r="D360" s="118"/>
      <c r="E360" s="118"/>
      <c r="F360" s="118"/>
      <c r="G360" s="118"/>
      <c r="H360" s="118"/>
      <c r="I360" s="118"/>
      <c r="J360" s="118"/>
      <c r="K360" s="118"/>
      <c r="L360" s="118"/>
    </row>
    <row r="361" spans="1:12" ht="42.75" x14ac:dyDescent="0.2">
      <c r="A361" s="40" t="s">
        <v>219</v>
      </c>
      <c r="B361" s="42" t="s">
        <v>555</v>
      </c>
      <c r="C361" s="42" t="str">
        <f>Source!G193</f>
        <v>Фазировка электрической линии или трансформатора с сетью напряжением: до 1 кВ</v>
      </c>
      <c r="D361" s="43" t="str">
        <f>Source!H193</f>
        <v>ШТ</v>
      </c>
      <c r="E361" s="44">
        <f>Source!K193</f>
        <v>4</v>
      </c>
      <c r="F361" s="44"/>
      <c r="G361" s="44">
        <f>Source!I193</f>
        <v>4</v>
      </c>
      <c r="H361" s="46"/>
      <c r="I361" s="45"/>
      <c r="J361" s="46"/>
      <c r="K361" s="45"/>
      <c r="L361" s="46"/>
    </row>
    <row r="362" spans="1:12" ht="15" x14ac:dyDescent="0.2">
      <c r="A362" s="41"/>
      <c r="B362" s="44">
        <v>1</v>
      </c>
      <c r="C362" s="41" t="s">
        <v>503</v>
      </c>
      <c r="D362" s="43" t="s">
        <v>324</v>
      </c>
      <c r="E362" s="49"/>
      <c r="F362" s="44"/>
      <c r="G362" s="49">
        <f>Source!U193</f>
        <v>3.28</v>
      </c>
      <c r="H362" s="44"/>
      <c r="I362" s="44"/>
      <c r="J362" s="44"/>
      <c r="K362" s="44"/>
      <c r="L362" s="50">
        <f>SUM(L363:L364)-SUMIF(CE363:CE364, 1, L363:L364)</f>
        <v>1896.48</v>
      </c>
    </row>
    <row r="363" spans="1:12" ht="14.25" x14ac:dyDescent="0.2">
      <c r="A363" s="42"/>
      <c r="B363" s="42" t="s">
        <v>454</v>
      </c>
      <c r="C363" s="42" t="s">
        <v>455</v>
      </c>
      <c r="D363" s="43" t="s">
        <v>315</v>
      </c>
      <c r="E363" s="44">
        <v>0.41</v>
      </c>
      <c r="F363" s="44"/>
      <c r="G363" s="44">
        <f>SmtRes!CX133</f>
        <v>1.64</v>
      </c>
      <c r="H363" s="46"/>
      <c r="I363" s="45"/>
      <c r="J363" s="46">
        <f>SmtRes!CZ133</f>
        <v>584.69000000000005</v>
      </c>
      <c r="K363" s="45"/>
      <c r="L363" s="46">
        <f>SmtRes!DI133</f>
        <v>958.89</v>
      </c>
    </row>
    <row r="364" spans="1:12" ht="14.25" x14ac:dyDescent="0.2">
      <c r="A364" s="42"/>
      <c r="B364" s="42" t="s">
        <v>456</v>
      </c>
      <c r="C364" s="60" t="s">
        <v>457</v>
      </c>
      <c r="D364" s="52" t="s">
        <v>315</v>
      </c>
      <c r="E364" s="54">
        <v>0.41</v>
      </c>
      <c r="F364" s="54"/>
      <c r="G364" s="54">
        <f>SmtRes!CX134</f>
        <v>1.64</v>
      </c>
      <c r="H364" s="61"/>
      <c r="I364" s="62"/>
      <c r="J364" s="61">
        <f>SmtRes!CZ134</f>
        <v>571.70000000000005</v>
      </c>
      <c r="K364" s="62"/>
      <c r="L364" s="61">
        <f>SmtRes!DI134</f>
        <v>937.59</v>
      </c>
    </row>
    <row r="365" spans="1:12" ht="15" x14ac:dyDescent="0.2">
      <c r="A365" s="42"/>
      <c r="B365" s="42"/>
      <c r="C365" s="58" t="s">
        <v>509</v>
      </c>
      <c r="D365" s="43"/>
      <c r="E365" s="44"/>
      <c r="F365" s="44"/>
      <c r="G365" s="44"/>
      <c r="H365" s="46"/>
      <c r="I365" s="45"/>
      <c r="J365" s="46"/>
      <c r="K365" s="45"/>
      <c r="L365" s="46">
        <f>L362</f>
        <v>1896.48</v>
      </c>
    </row>
    <row r="366" spans="1:12" ht="14.25" x14ac:dyDescent="0.2">
      <c r="A366" s="42"/>
      <c r="B366" s="42"/>
      <c r="C366" s="42" t="s">
        <v>510</v>
      </c>
      <c r="D366" s="43"/>
      <c r="E366" s="44"/>
      <c r="F366" s="44"/>
      <c r="G366" s="44"/>
      <c r="H366" s="46"/>
      <c r="I366" s="45"/>
      <c r="J366" s="46"/>
      <c r="K366" s="45"/>
      <c r="L366" s="46">
        <f>SUM(AR361:AR369)+SUM(AS361:AS369)+SUM(AT361:AT369)+SUM(AU361:AU369)+SUM(AV361:AV369)</f>
        <v>1896.48</v>
      </c>
    </row>
    <row r="367" spans="1:12" ht="14.25" x14ac:dyDescent="0.2">
      <c r="A367" s="42"/>
      <c r="B367" s="42" t="s">
        <v>225</v>
      </c>
      <c r="C367" s="42" t="s">
        <v>556</v>
      </c>
      <c r="D367" s="43" t="s">
        <v>365</v>
      </c>
      <c r="E367" s="44">
        <f>Source!BZ193</f>
        <v>74</v>
      </c>
      <c r="F367" s="44"/>
      <c r="G367" s="44">
        <f>Source!AT193</f>
        <v>74</v>
      </c>
      <c r="H367" s="46"/>
      <c r="I367" s="45"/>
      <c r="J367" s="46"/>
      <c r="K367" s="45"/>
      <c r="L367" s="46">
        <f>SUM(AZ361:AZ369)</f>
        <v>1403.4</v>
      </c>
    </row>
    <row r="368" spans="1:12" ht="14.25" x14ac:dyDescent="0.2">
      <c r="A368" s="60"/>
      <c r="B368" s="60" t="s">
        <v>226</v>
      </c>
      <c r="C368" s="60" t="s">
        <v>557</v>
      </c>
      <c r="D368" s="52" t="s">
        <v>365</v>
      </c>
      <c r="E368" s="54">
        <f>Source!CA193</f>
        <v>36</v>
      </c>
      <c r="F368" s="54"/>
      <c r="G368" s="54">
        <f>Source!AU193</f>
        <v>36</v>
      </c>
      <c r="H368" s="61"/>
      <c r="I368" s="62"/>
      <c r="J368" s="61"/>
      <c r="K368" s="62"/>
      <c r="L368" s="61">
        <f>SUM(BA361:BA369)</f>
        <v>682.73</v>
      </c>
    </row>
    <row r="369" spans="1:82" ht="15" x14ac:dyDescent="0.2">
      <c r="C369" s="113" t="s">
        <v>513</v>
      </c>
      <c r="D369" s="113"/>
      <c r="E369" s="113"/>
      <c r="F369" s="113"/>
      <c r="G369" s="113"/>
      <c r="H369" s="113"/>
      <c r="I369" s="114">
        <f>K369/E361</f>
        <v>995.65250000000003</v>
      </c>
      <c r="J369" s="114"/>
      <c r="K369" s="114">
        <f>L362+L367+L368</f>
        <v>3982.61</v>
      </c>
      <c r="L369" s="114"/>
      <c r="AD369">
        <f>ROUND((Source!AT193/100)*((ROUND(SUMIF(SmtRes!AQ133:'SmtRes'!AQ134,"=1",SmtRes!AD133:'SmtRes'!AD134)*Source!I193, 2)+ROUND(SUMIF(SmtRes!AQ133:'SmtRes'!AQ134,"=1",SmtRes!AC133:'SmtRes'!AC134)*Source!I193, 2))), 2)</f>
        <v>3422.91</v>
      </c>
      <c r="AE369">
        <f>ROUND((Source!AU193/100)*((ROUND(SUMIF(SmtRes!AQ133:'SmtRes'!AQ134,"=1",SmtRes!AD133:'SmtRes'!AD134)*Source!I193, 2)+ROUND(SUMIF(SmtRes!AQ133:'SmtRes'!AQ134,"=1",SmtRes!AC133:'SmtRes'!AC134)*Source!I193, 2))), 2)</f>
        <v>1665.2</v>
      </c>
      <c r="AN369" s="56">
        <f>L362+L367+L368</f>
        <v>3982.61</v>
      </c>
      <c r="AO369">
        <f>0</f>
        <v>0</v>
      </c>
      <c r="AQ369" t="s">
        <v>514</v>
      </c>
      <c r="AR369" s="56">
        <f>L362</f>
        <v>1896.48</v>
      </c>
      <c r="AT369">
        <f>0</f>
        <v>0</v>
      </c>
      <c r="AV369" t="s">
        <v>514</v>
      </c>
      <c r="AW369">
        <f>0</f>
        <v>0</v>
      </c>
      <c r="AZ369">
        <f>Source!X193</f>
        <v>1403.4</v>
      </c>
      <c r="BA369">
        <f>Source!Y193</f>
        <v>682.73</v>
      </c>
      <c r="BR369" s="56">
        <f>K369</f>
        <v>3982.61</v>
      </c>
      <c r="BU369">
        <f>ROUND(K369*80/100, 2)</f>
        <v>3186.09</v>
      </c>
      <c r="BV369" s="56">
        <f>K369-BU369</f>
        <v>796.52</v>
      </c>
      <c r="CB369">
        <f>Source!BM193</f>
        <v>200001</v>
      </c>
      <c r="CC369" t="str">
        <f>Source!E193</f>
        <v>26</v>
      </c>
      <c r="CD369">
        <v>4</v>
      </c>
    </row>
    <row r="370" spans="1:82" ht="114" x14ac:dyDescent="0.2">
      <c r="A370" s="40" t="s">
        <v>227</v>
      </c>
      <c r="B370" s="42" t="s">
        <v>558</v>
      </c>
      <c r="C370" s="42" t="str">
        <f>Source!G194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370" s="43" t="str">
        <f>Source!H194</f>
        <v>ШТ</v>
      </c>
      <c r="E370" s="44">
        <f>Source!K194</f>
        <v>4</v>
      </c>
      <c r="F370" s="44"/>
      <c r="G370" s="44">
        <f>Source!I194</f>
        <v>4</v>
      </c>
      <c r="H370" s="46"/>
      <c r="I370" s="45"/>
      <c r="J370" s="46"/>
      <c r="K370" s="45"/>
      <c r="L370" s="46"/>
    </row>
    <row r="371" spans="1:82" ht="15" x14ac:dyDescent="0.2">
      <c r="A371" s="41"/>
      <c r="B371" s="44">
        <v>1</v>
      </c>
      <c r="C371" s="41" t="s">
        <v>503</v>
      </c>
      <c r="D371" s="43" t="s">
        <v>324</v>
      </c>
      <c r="E371" s="49"/>
      <c r="F371" s="44"/>
      <c r="G371" s="49">
        <f>Source!U194</f>
        <v>1.28</v>
      </c>
      <c r="H371" s="44"/>
      <c r="I371" s="44"/>
      <c r="J371" s="44"/>
      <c r="K371" s="44"/>
      <c r="L371" s="50">
        <f>SUM(L372:L373)-SUMIF(CE372:CE373, 1, L372:L373)</f>
        <v>740.08999999999992</v>
      </c>
    </row>
    <row r="372" spans="1:82" ht="14.25" x14ac:dyDescent="0.2">
      <c r="A372" s="42"/>
      <c r="B372" s="42" t="s">
        <v>454</v>
      </c>
      <c r="C372" s="42" t="s">
        <v>455</v>
      </c>
      <c r="D372" s="43" t="s">
        <v>315</v>
      </c>
      <c r="E372" s="44">
        <v>0.16</v>
      </c>
      <c r="F372" s="44"/>
      <c r="G372" s="44">
        <f>SmtRes!CX135</f>
        <v>0.64</v>
      </c>
      <c r="H372" s="46"/>
      <c r="I372" s="45"/>
      <c r="J372" s="46">
        <f>SmtRes!CZ135</f>
        <v>584.69000000000005</v>
      </c>
      <c r="K372" s="45"/>
      <c r="L372" s="46">
        <f>SmtRes!DI135</f>
        <v>374.2</v>
      </c>
    </row>
    <row r="373" spans="1:82" ht="14.25" x14ac:dyDescent="0.2">
      <c r="A373" s="42"/>
      <c r="B373" s="42" t="s">
        <v>456</v>
      </c>
      <c r="C373" s="60" t="s">
        <v>457</v>
      </c>
      <c r="D373" s="52" t="s">
        <v>315</v>
      </c>
      <c r="E373" s="54">
        <v>0.16</v>
      </c>
      <c r="F373" s="54"/>
      <c r="G373" s="54">
        <f>SmtRes!CX136</f>
        <v>0.64</v>
      </c>
      <c r="H373" s="61"/>
      <c r="I373" s="62"/>
      <c r="J373" s="61">
        <f>SmtRes!CZ136</f>
        <v>571.70000000000005</v>
      </c>
      <c r="K373" s="62"/>
      <c r="L373" s="61">
        <f>SmtRes!DI136</f>
        <v>365.89</v>
      </c>
    </row>
    <row r="374" spans="1:82" ht="15" x14ac:dyDescent="0.2">
      <c r="A374" s="42"/>
      <c r="B374" s="42"/>
      <c r="C374" s="58" t="s">
        <v>509</v>
      </c>
      <c r="D374" s="43"/>
      <c r="E374" s="44"/>
      <c r="F374" s="44"/>
      <c r="G374" s="44"/>
      <c r="H374" s="46"/>
      <c r="I374" s="45"/>
      <c r="J374" s="46"/>
      <c r="K374" s="45"/>
      <c r="L374" s="46">
        <f>L371</f>
        <v>740.08999999999992</v>
      </c>
    </row>
    <row r="375" spans="1:82" ht="14.25" x14ac:dyDescent="0.2">
      <c r="A375" s="42"/>
      <c r="B375" s="42"/>
      <c r="C375" s="42" t="s">
        <v>510</v>
      </c>
      <c r="D375" s="43"/>
      <c r="E375" s="44"/>
      <c r="F375" s="44"/>
      <c r="G375" s="44"/>
      <c r="H375" s="46"/>
      <c r="I375" s="45"/>
      <c r="J375" s="46"/>
      <c r="K375" s="45"/>
      <c r="L375" s="46">
        <f>SUM(AR370:AR378)+SUM(AS370:AS378)+SUM(AT370:AT378)+SUM(AU370:AU378)+SUM(AV370:AV378)</f>
        <v>740.08999999999992</v>
      </c>
    </row>
    <row r="376" spans="1:82" ht="14.25" x14ac:dyDescent="0.2">
      <c r="A376" s="42"/>
      <c r="B376" s="42" t="s">
        <v>225</v>
      </c>
      <c r="C376" s="42" t="s">
        <v>556</v>
      </c>
      <c r="D376" s="43" t="s">
        <v>365</v>
      </c>
      <c r="E376" s="44">
        <f>Source!BZ194</f>
        <v>74</v>
      </c>
      <c r="F376" s="44"/>
      <c r="G376" s="44">
        <f>Source!AT194</f>
        <v>74</v>
      </c>
      <c r="H376" s="46"/>
      <c r="I376" s="45"/>
      <c r="J376" s="46"/>
      <c r="K376" s="45"/>
      <c r="L376" s="46">
        <f>SUM(AZ370:AZ378)</f>
        <v>547.66999999999996</v>
      </c>
    </row>
    <row r="377" spans="1:82" ht="14.25" x14ac:dyDescent="0.2">
      <c r="A377" s="60"/>
      <c r="B377" s="60" t="s">
        <v>226</v>
      </c>
      <c r="C377" s="60" t="s">
        <v>557</v>
      </c>
      <c r="D377" s="52" t="s">
        <v>365</v>
      </c>
      <c r="E377" s="54">
        <f>Source!CA194</f>
        <v>36</v>
      </c>
      <c r="F377" s="54"/>
      <c r="G377" s="54">
        <f>Source!AU194</f>
        <v>36</v>
      </c>
      <c r="H377" s="61"/>
      <c r="I377" s="62"/>
      <c r="J377" s="61"/>
      <c r="K377" s="62"/>
      <c r="L377" s="61">
        <f>SUM(BA370:BA378)</f>
        <v>266.43</v>
      </c>
    </row>
    <row r="378" spans="1:82" ht="15" x14ac:dyDescent="0.2">
      <c r="C378" s="113" t="s">
        <v>513</v>
      </c>
      <c r="D378" s="113"/>
      <c r="E378" s="113"/>
      <c r="F378" s="113"/>
      <c r="G378" s="113"/>
      <c r="H378" s="113"/>
      <c r="I378" s="114">
        <f>K378/E370</f>
        <v>388.54749999999996</v>
      </c>
      <c r="J378" s="114"/>
      <c r="K378" s="114">
        <f>L371+L376+L377</f>
        <v>1554.1899999999998</v>
      </c>
      <c r="L378" s="114"/>
      <c r="AD378">
        <f>ROUND((Source!AT194/100)*((ROUND(SUMIF(SmtRes!AQ135:'SmtRes'!AQ136,"=1",SmtRes!AD135:'SmtRes'!AD136)*Source!I194, 2)+ROUND(SUMIF(SmtRes!AQ135:'SmtRes'!AQ136,"=1",SmtRes!AC135:'SmtRes'!AC136)*Source!I194, 2))), 2)</f>
        <v>3422.91</v>
      </c>
      <c r="AE378">
        <f>ROUND((Source!AU194/100)*((ROUND(SUMIF(SmtRes!AQ135:'SmtRes'!AQ136,"=1",SmtRes!AD135:'SmtRes'!AD136)*Source!I194, 2)+ROUND(SUMIF(SmtRes!AQ135:'SmtRes'!AQ136,"=1",SmtRes!AC135:'SmtRes'!AC136)*Source!I194, 2))), 2)</f>
        <v>1665.2</v>
      </c>
      <c r="AN378" s="56">
        <f>L371+L376+L377</f>
        <v>1554.1899999999998</v>
      </c>
      <c r="AO378">
        <f>0</f>
        <v>0</v>
      </c>
      <c r="AQ378" t="s">
        <v>514</v>
      </c>
      <c r="AR378" s="56">
        <f>L371</f>
        <v>740.08999999999992</v>
      </c>
      <c r="AT378">
        <f>0</f>
        <v>0</v>
      </c>
      <c r="AV378" t="s">
        <v>514</v>
      </c>
      <c r="AW378">
        <f>0</f>
        <v>0</v>
      </c>
      <c r="AZ378">
        <f>Source!X194</f>
        <v>547.66999999999996</v>
      </c>
      <c r="BA378">
        <f>Source!Y194</f>
        <v>266.43</v>
      </c>
      <c r="BR378" s="56">
        <f>K378</f>
        <v>1554.1899999999998</v>
      </c>
      <c r="BU378">
        <f>ROUND(K378*80/100, 2)</f>
        <v>1243.3499999999999</v>
      </c>
      <c r="BV378" s="56">
        <f>K378-BU378</f>
        <v>310.83999999999992</v>
      </c>
      <c r="CB378">
        <f>Source!BM194</f>
        <v>200001</v>
      </c>
      <c r="CC378" t="str">
        <f>Source!E194</f>
        <v>27</v>
      </c>
      <c r="CD378">
        <v>4</v>
      </c>
    </row>
    <row r="380" spans="1:82" ht="15" x14ac:dyDescent="0.2">
      <c r="A380" s="65"/>
      <c r="B380" s="66"/>
      <c r="C380" s="115" t="s">
        <v>520</v>
      </c>
      <c r="D380" s="115"/>
      <c r="E380" s="115"/>
      <c r="F380" s="115"/>
      <c r="G380" s="115"/>
      <c r="H380" s="115"/>
      <c r="I380" s="50"/>
      <c r="J380" s="65"/>
      <c r="K380" s="67"/>
      <c r="L380" s="50">
        <f>L382+L383+L389+L393</f>
        <v>2636.5699999999997</v>
      </c>
    </row>
    <row r="381" spans="1:82" ht="14.25" x14ac:dyDescent="0.2">
      <c r="A381" s="59"/>
      <c r="B381" s="64"/>
      <c r="C381" s="116" t="s">
        <v>521</v>
      </c>
      <c r="D381" s="117"/>
      <c r="E381" s="117"/>
      <c r="F381" s="117"/>
      <c r="G381" s="117"/>
      <c r="H381" s="117"/>
      <c r="I381" s="46"/>
      <c r="J381" s="59"/>
      <c r="K381" s="44"/>
      <c r="L381" s="46"/>
    </row>
    <row r="382" spans="1:82" ht="14.25" x14ac:dyDescent="0.2">
      <c r="A382" s="59"/>
      <c r="B382" s="64"/>
      <c r="C382" s="117" t="s">
        <v>522</v>
      </c>
      <c r="D382" s="117"/>
      <c r="E382" s="117"/>
      <c r="F382" s="117"/>
      <c r="G382" s="117"/>
      <c r="H382" s="117"/>
      <c r="I382" s="46"/>
      <c r="J382" s="59"/>
      <c r="K382" s="44"/>
      <c r="L382" s="46">
        <f>SUM(AR360:AR378)</f>
        <v>2636.5699999999997</v>
      </c>
    </row>
    <row r="383" spans="1:82" ht="14.25" hidden="1" x14ac:dyDescent="0.2">
      <c r="A383" s="59"/>
      <c r="B383" s="64"/>
      <c r="C383" s="117" t="s">
        <v>523</v>
      </c>
      <c r="D383" s="117"/>
      <c r="E383" s="117"/>
      <c r="F383" s="117"/>
      <c r="G383" s="117"/>
      <c r="H383" s="117"/>
      <c r="I383" s="46"/>
      <c r="J383" s="59"/>
      <c r="K383" s="44"/>
      <c r="L383" s="46">
        <f>L385+L388+L387</f>
        <v>0</v>
      </c>
    </row>
    <row r="384" spans="1:82" ht="14.25" hidden="1" x14ac:dyDescent="0.2">
      <c r="A384" s="59"/>
      <c r="B384" s="64"/>
      <c r="C384" s="116" t="s">
        <v>524</v>
      </c>
      <c r="D384" s="117"/>
      <c r="E384" s="117"/>
      <c r="F384" s="117"/>
      <c r="G384" s="117"/>
      <c r="H384" s="117"/>
      <c r="I384" s="46"/>
      <c r="J384" s="59"/>
      <c r="K384" s="44"/>
      <c r="L384" s="46"/>
    </row>
    <row r="385" spans="1:12" ht="14.25" hidden="1" x14ac:dyDescent="0.2">
      <c r="A385" s="59"/>
      <c r="B385" s="64"/>
      <c r="C385" s="117" t="s">
        <v>523</v>
      </c>
      <c r="D385" s="117"/>
      <c r="E385" s="117"/>
      <c r="F385" s="117"/>
      <c r="G385" s="117"/>
      <c r="H385" s="117"/>
      <c r="I385" s="46"/>
      <c r="J385" s="59"/>
      <c r="K385" s="44"/>
      <c r="L385" s="46">
        <f>SUM(AO360:AO378)</f>
        <v>0</v>
      </c>
    </row>
    <row r="386" spans="1:12" ht="14.25" hidden="1" x14ac:dyDescent="0.2">
      <c r="A386" s="59"/>
      <c r="B386" s="64"/>
      <c r="C386" s="116" t="s">
        <v>525</v>
      </c>
      <c r="D386" s="117"/>
      <c r="E386" s="117"/>
      <c r="F386" s="117"/>
      <c r="G386" s="117"/>
      <c r="H386" s="117"/>
      <c r="I386" s="46"/>
      <c r="J386" s="59"/>
      <c r="K386" s="44"/>
      <c r="L386" s="46"/>
    </row>
    <row r="387" spans="1:12" ht="14.25" hidden="1" x14ac:dyDescent="0.2">
      <c r="A387" s="59"/>
      <c r="B387" s="64"/>
      <c r="C387" s="117" t="s">
        <v>545</v>
      </c>
      <c r="D387" s="117"/>
      <c r="E387" s="117"/>
      <c r="F387" s="117"/>
      <c r="G387" s="117"/>
      <c r="H387" s="117"/>
      <c r="I387" s="46"/>
      <c r="J387" s="59"/>
      <c r="K387" s="44"/>
      <c r="L387" s="46">
        <f>SUM(AT360:AT378)</f>
        <v>0</v>
      </c>
    </row>
    <row r="388" spans="1:12" ht="14.25" hidden="1" x14ac:dyDescent="0.2">
      <c r="A388" s="59"/>
      <c r="B388" s="64"/>
      <c r="C388" s="117" t="s">
        <v>526</v>
      </c>
      <c r="D388" s="117"/>
      <c r="E388" s="117"/>
      <c r="F388" s="117"/>
      <c r="G388" s="117"/>
      <c r="H388" s="117"/>
      <c r="I388" s="46"/>
      <c r="J388" s="59"/>
      <c r="K388" s="44"/>
      <c r="L388" s="46">
        <f>SUM(AV360:AV378)</f>
        <v>0</v>
      </c>
    </row>
    <row r="389" spans="1:12" ht="14.25" hidden="1" x14ac:dyDescent="0.2">
      <c r="A389" s="59"/>
      <c r="B389" s="64"/>
      <c r="C389" s="117" t="s">
        <v>527</v>
      </c>
      <c r="D389" s="117"/>
      <c r="E389" s="117"/>
      <c r="F389" s="117"/>
      <c r="G389" s="117"/>
      <c r="H389" s="117"/>
      <c r="I389" s="46"/>
      <c r="J389" s="59"/>
      <c r="K389" s="44"/>
      <c r="L389" s="46">
        <f>L391+L392</f>
        <v>0</v>
      </c>
    </row>
    <row r="390" spans="1:12" ht="14.25" hidden="1" x14ac:dyDescent="0.2">
      <c r="A390" s="59"/>
      <c r="B390" s="64"/>
      <c r="C390" s="116" t="s">
        <v>524</v>
      </c>
      <c r="D390" s="117"/>
      <c r="E390" s="117"/>
      <c r="F390" s="117"/>
      <c r="G390" s="117"/>
      <c r="H390" s="117"/>
      <c r="I390" s="46"/>
      <c r="J390" s="59"/>
      <c r="K390" s="44"/>
      <c r="L390" s="46"/>
    </row>
    <row r="391" spans="1:12" ht="14.25" hidden="1" x14ac:dyDescent="0.2">
      <c r="A391" s="59"/>
      <c r="B391" s="64"/>
      <c r="C391" s="117" t="s">
        <v>528</v>
      </c>
      <c r="D391" s="117"/>
      <c r="E391" s="117"/>
      <c r="F391" s="117"/>
      <c r="G391" s="117"/>
      <c r="H391" s="117"/>
      <c r="I391" s="46"/>
      <c r="J391" s="59"/>
      <c r="K391" s="44"/>
      <c r="L391" s="46">
        <f>SUM(AW360:AW378)-SUM(BK360:BK378)</f>
        <v>0</v>
      </c>
    </row>
    <row r="392" spans="1:12" ht="14.25" hidden="1" x14ac:dyDescent="0.2">
      <c r="A392" s="59"/>
      <c r="B392" s="64"/>
      <c r="C392" s="117" t="s">
        <v>529</v>
      </c>
      <c r="D392" s="117"/>
      <c r="E392" s="117"/>
      <c r="F392" s="117"/>
      <c r="G392" s="117"/>
      <c r="H392" s="117"/>
      <c r="I392" s="46"/>
      <c r="J392" s="59"/>
      <c r="K392" s="44"/>
      <c r="L392" s="46">
        <f>SUM(BC360:BC378)</f>
        <v>0</v>
      </c>
    </row>
    <row r="393" spans="1:12" ht="14.25" hidden="1" x14ac:dyDescent="0.2">
      <c r="A393" s="59"/>
      <c r="B393" s="64"/>
      <c r="C393" s="117" t="s">
        <v>530</v>
      </c>
      <c r="D393" s="117"/>
      <c r="E393" s="117"/>
      <c r="F393" s="117"/>
      <c r="G393" s="117"/>
      <c r="H393" s="117"/>
      <c r="I393" s="46"/>
      <c r="J393" s="59"/>
      <c r="K393" s="44"/>
      <c r="L393" s="46">
        <f>SUM(BB360:BB378)</f>
        <v>0</v>
      </c>
    </row>
    <row r="394" spans="1:12" ht="14.25" x14ac:dyDescent="0.2">
      <c r="A394" s="59"/>
      <c r="B394" s="64"/>
      <c r="C394" s="117" t="s">
        <v>531</v>
      </c>
      <c r="D394" s="117"/>
      <c r="E394" s="117"/>
      <c r="F394" s="117"/>
      <c r="G394" s="117"/>
      <c r="H394" s="117"/>
      <c r="I394" s="46"/>
      <c r="J394" s="59"/>
      <c r="K394" s="44"/>
      <c r="L394" s="46">
        <f>SUM(AR360:AR378)+SUM(AT360:AT378)+SUM(AV360:AV378)</f>
        <v>2636.5699999999997</v>
      </c>
    </row>
    <row r="395" spans="1:12" ht="14.25" x14ac:dyDescent="0.2">
      <c r="A395" s="59"/>
      <c r="B395" s="64"/>
      <c r="C395" s="117" t="s">
        <v>532</v>
      </c>
      <c r="D395" s="117"/>
      <c r="E395" s="117"/>
      <c r="F395" s="117"/>
      <c r="G395" s="117"/>
      <c r="H395" s="117"/>
      <c r="I395" s="46"/>
      <c r="J395" s="59"/>
      <c r="K395" s="44"/>
      <c r="L395" s="46">
        <f>SUM(AZ360:AZ378)</f>
        <v>1951.0700000000002</v>
      </c>
    </row>
    <row r="396" spans="1:12" ht="14.25" x14ac:dyDescent="0.2">
      <c r="A396" s="59"/>
      <c r="B396" s="64"/>
      <c r="C396" s="117" t="s">
        <v>533</v>
      </c>
      <c r="D396" s="117"/>
      <c r="E396" s="117"/>
      <c r="F396" s="117"/>
      <c r="G396" s="117"/>
      <c r="H396" s="117"/>
      <c r="I396" s="46"/>
      <c r="J396" s="59"/>
      <c r="K396" s="44"/>
      <c r="L396" s="46">
        <f>SUM(BA360:BA378)</f>
        <v>949.16000000000008</v>
      </c>
    </row>
    <row r="397" spans="1:12" ht="14.25" hidden="1" x14ac:dyDescent="0.2">
      <c r="A397" s="59"/>
      <c r="B397" s="64"/>
      <c r="C397" s="117" t="s">
        <v>534</v>
      </c>
      <c r="D397" s="117"/>
      <c r="E397" s="117"/>
      <c r="F397" s="117"/>
      <c r="G397" s="117"/>
      <c r="H397" s="117"/>
      <c r="I397" s="46"/>
      <c r="J397" s="59"/>
      <c r="K397" s="44"/>
      <c r="L397" s="46">
        <f>L399+L400</f>
        <v>0</v>
      </c>
    </row>
    <row r="398" spans="1:12" ht="14.25" hidden="1" x14ac:dyDescent="0.2">
      <c r="A398" s="59"/>
      <c r="B398" s="64"/>
      <c r="C398" s="116" t="s">
        <v>521</v>
      </c>
      <c r="D398" s="117"/>
      <c r="E398" s="117"/>
      <c r="F398" s="117"/>
      <c r="G398" s="117"/>
      <c r="H398" s="117"/>
      <c r="I398" s="46"/>
      <c r="J398" s="59"/>
      <c r="K398" s="44"/>
      <c r="L398" s="46"/>
    </row>
    <row r="399" spans="1:12" ht="14.25" hidden="1" x14ac:dyDescent="0.2">
      <c r="A399" s="59"/>
      <c r="B399" s="64"/>
      <c r="C399" s="117" t="s">
        <v>535</v>
      </c>
      <c r="D399" s="117"/>
      <c r="E399" s="117"/>
      <c r="F399" s="117"/>
      <c r="G399" s="117"/>
      <c r="H399" s="117"/>
      <c r="I399" s="46"/>
      <c r="J399" s="59"/>
      <c r="K399" s="44"/>
      <c r="L399" s="46">
        <f>SUM(BK360:BK378)</f>
        <v>0</v>
      </c>
    </row>
    <row r="400" spans="1:12" ht="14.25" hidden="1" x14ac:dyDescent="0.2">
      <c r="A400" s="59"/>
      <c r="B400" s="64"/>
      <c r="C400" s="117" t="s">
        <v>536</v>
      </c>
      <c r="D400" s="117"/>
      <c r="E400" s="117"/>
      <c r="F400" s="117"/>
      <c r="G400" s="117"/>
      <c r="H400" s="117"/>
      <c r="I400" s="46"/>
      <c r="J400" s="59"/>
      <c r="K400" s="44"/>
      <c r="L400" s="46">
        <f>SUM(BD360:BD378)</f>
        <v>0</v>
      </c>
    </row>
    <row r="401" spans="1:12" ht="14.25" hidden="1" x14ac:dyDescent="0.2">
      <c r="A401" s="59"/>
      <c r="B401" s="64"/>
      <c r="C401" s="117" t="s">
        <v>537</v>
      </c>
      <c r="D401" s="117"/>
      <c r="E401" s="117"/>
      <c r="F401" s="117"/>
      <c r="G401" s="117"/>
      <c r="H401" s="117"/>
      <c r="I401" s="46"/>
      <c r="J401" s="59"/>
      <c r="K401" s="44"/>
      <c r="L401" s="46"/>
    </row>
    <row r="402" spans="1:12" ht="14.25" hidden="1" x14ac:dyDescent="0.2">
      <c r="A402" s="59"/>
      <c r="B402" s="64"/>
      <c r="C402" s="117" t="s">
        <v>538</v>
      </c>
      <c r="D402" s="117"/>
      <c r="E402" s="117"/>
      <c r="F402" s="117"/>
      <c r="G402" s="117"/>
      <c r="H402" s="117"/>
      <c r="I402" s="46"/>
      <c r="J402" s="59"/>
      <c r="K402" s="44"/>
      <c r="L402" s="46">
        <f>SUM(BO360:BO378)</f>
        <v>0</v>
      </c>
    </row>
    <row r="403" spans="1:12" ht="15" x14ac:dyDescent="0.2">
      <c r="A403" s="65"/>
      <c r="B403" s="66"/>
      <c r="C403" s="115" t="s">
        <v>539</v>
      </c>
      <c r="D403" s="115"/>
      <c r="E403" s="115"/>
      <c r="F403" s="115"/>
      <c r="G403" s="115"/>
      <c r="H403" s="115"/>
      <c r="I403" s="50"/>
      <c r="J403" s="65"/>
      <c r="K403" s="67"/>
      <c r="L403" s="50">
        <f>L380+L395+L396+L397+L401+L402</f>
        <v>5536.7999999999993</v>
      </c>
    </row>
    <row r="404" spans="1:12" ht="14.25" x14ac:dyDescent="0.2">
      <c r="A404" s="59"/>
      <c r="B404" s="64"/>
      <c r="C404" s="116" t="s">
        <v>540</v>
      </c>
      <c r="D404" s="117"/>
      <c r="E404" s="117"/>
      <c r="F404" s="117"/>
      <c r="G404" s="117"/>
      <c r="H404" s="117"/>
      <c r="I404" s="46"/>
      <c r="J404" s="59"/>
      <c r="K404" s="44"/>
      <c r="L404" s="46"/>
    </row>
    <row r="405" spans="1:12" ht="14.25" hidden="1" x14ac:dyDescent="0.2">
      <c r="A405" s="59"/>
      <c r="B405" s="64"/>
      <c r="C405" s="117" t="s">
        <v>541</v>
      </c>
      <c r="D405" s="117"/>
      <c r="E405" s="117"/>
      <c r="F405" s="117"/>
      <c r="G405" s="117"/>
      <c r="H405" s="117"/>
      <c r="I405" s="46"/>
      <c r="J405" s="59"/>
      <c r="K405" s="44"/>
      <c r="L405" s="46">
        <f>SUM(AX360:AX378)</f>
        <v>0</v>
      </c>
    </row>
    <row r="406" spans="1:12" ht="14.25" hidden="1" x14ac:dyDescent="0.2">
      <c r="A406" s="59"/>
      <c r="B406" s="64"/>
      <c r="C406" s="117" t="s">
        <v>542</v>
      </c>
      <c r="D406" s="117"/>
      <c r="E406" s="117"/>
      <c r="F406" s="117"/>
      <c r="G406" s="117"/>
      <c r="H406" s="117"/>
      <c r="I406" s="46"/>
      <c r="J406" s="59"/>
      <c r="K406" s="44"/>
      <c r="L406" s="46">
        <f>SUM(AY360:AY378)</f>
        <v>0</v>
      </c>
    </row>
    <row r="407" spans="1:12" ht="14.25" x14ac:dyDescent="0.2">
      <c r="A407" s="59"/>
      <c r="B407" s="64"/>
      <c r="C407" s="117" t="s">
        <v>543</v>
      </c>
      <c r="D407" s="117"/>
      <c r="E407" s="117"/>
      <c r="F407" s="119"/>
      <c r="G407" s="49">
        <f>Source!F218</f>
        <v>4.5599999999999996</v>
      </c>
      <c r="H407" s="59"/>
      <c r="I407" s="59"/>
      <c r="J407" s="59"/>
      <c r="K407" s="59"/>
      <c r="L407" s="59"/>
    </row>
    <row r="408" spans="1:12" ht="14.25" hidden="1" customHeight="1" x14ac:dyDescent="0.2">
      <c r="A408" s="59"/>
      <c r="B408" s="64"/>
      <c r="C408" s="117" t="s">
        <v>544</v>
      </c>
      <c r="D408" s="117"/>
      <c r="E408" s="117"/>
      <c r="F408" s="119"/>
      <c r="G408" s="49">
        <f>Source!F219</f>
        <v>0</v>
      </c>
      <c r="H408" s="59"/>
      <c r="I408" s="59"/>
      <c r="J408" s="59"/>
      <c r="K408" s="59"/>
      <c r="L408" s="59"/>
    </row>
    <row r="411" spans="1:12" ht="15" x14ac:dyDescent="0.2">
      <c r="A411" s="71"/>
      <c r="B411" s="72"/>
      <c r="C411" s="120" t="s">
        <v>559</v>
      </c>
      <c r="D411" s="120"/>
      <c r="E411" s="120"/>
      <c r="F411" s="120"/>
      <c r="G411" s="120"/>
      <c r="H411" s="120"/>
      <c r="I411" s="63"/>
      <c r="J411" s="71"/>
      <c r="K411" s="73"/>
      <c r="L411" s="63"/>
    </row>
    <row r="413" spans="1:12" ht="15" x14ac:dyDescent="0.2">
      <c r="A413" s="65"/>
      <c r="B413" s="66"/>
      <c r="C413" s="115" t="s">
        <v>560</v>
      </c>
      <c r="D413" s="115"/>
      <c r="E413" s="115"/>
      <c r="F413" s="115"/>
      <c r="G413" s="115"/>
      <c r="H413" s="115"/>
      <c r="I413" s="50"/>
      <c r="J413" s="65"/>
      <c r="K413" s="67"/>
      <c r="L413" s="50">
        <f>L415+L430+L431</f>
        <v>138879.01999999999</v>
      </c>
    </row>
    <row r="414" spans="1:12" ht="14.25" x14ac:dyDescent="0.2">
      <c r="A414" s="59"/>
      <c r="B414" s="64"/>
      <c r="C414" s="116" t="s">
        <v>521</v>
      </c>
      <c r="D414" s="117"/>
      <c r="E414" s="117"/>
      <c r="F414" s="117"/>
      <c r="G414" s="117"/>
      <c r="H414" s="117"/>
      <c r="I414" s="46"/>
      <c r="J414" s="59"/>
      <c r="K414" s="44"/>
      <c r="L414" s="46"/>
    </row>
    <row r="415" spans="1:12" ht="14.25" x14ac:dyDescent="0.2">
      <c r="A415" s="59"/>
      <c r="B415" s="64"/>
      <c r="C415" s="117" t="s">
        <v>561</v>
      </c>
      <c r="D415" s="117"/>
      <c r="E415" s="117"/>
      <c r="F415" s="117"/>
      <c r="G415" s="117"/>
      <c r="H415" s="117"/>
      <c r="I415" s="46"/>
      <c r="J415" s="59"/>
      <c r="K415" s="44"/>
      <c r="L415" s="46">
        <f>L417+L418+L424+L428</f>
        <v>68895.89</v>
      </c>
    </row>
    <row r="416" spans="1:12" ht="14.25" x14ac:dyDescent="0.2">
      <c r="A416" s="59"/>
      <c r="B416" s="64"/>
      <c r="C416" s="116" t="s">
        <v>521</v>
      </c>
      <c r="D416" s="117"/>
      <c r="E416" s="117"/>
      <c r="F416" s="117"/>
      <c r="G416" s="117"/>
      <c r="H416" s="117"/>
      <c r="I416" s="46"/>
      <c r="J416" s="59"/>
      <c r="K416" s="44"/>
      <c r="L416" s="46"/>
    </row>
    <row r="417" spans="1:12" ht="14.25" x14ac:dyDescent="0.2">
      <c r="A417" s="59"/>
      <c r="B417" s="64"/>
      <c r="C417" s="117" t="s">
        <v>562</v>
      </c>
      <c r="D417" s="117"/>
      <c r="E417" s="117"/>
      <c r="F417" s="117"/>
      <c r="G417" s="117"/>
      <c r="H417" s="117"/>
      <c r="I417" s="46"/>
      <c r="J417" s="59"/>
      <c r="K417" s="44"/>
      <c r="L417" s="46">
        <f>SUMIF(CD53:CD409, 1, AR53:AR409)</f>
        <v>39552.880000000005</v>
      </c>
    </row>
    <row r="418" spans="1:12" ht="14.25" hidden="1" x14ac:dyDescent="0.2">
      <c r="A418" s="59"/>
      <c r="B418" s="64"/>
      <c r="C418" s="117" t="s">
        <v>523</v>
      </c>
      <c r="D418" s="117"/>
      <c r="E418" s="117"/>
      <c r="F418" s="117"/>
      <c r="G418" s="117"/>
      <c r="H418" s="117"/>
      <c r="I418" s="46"/>
      <c r="J418" s="59"/>
      <c r="K418" s="44"/>
      <c r="L418" s="46">
        <f>L420+L423+L422</f>
        <v>15237.23</v>
      </c>
    </row>
    <row r="419" spans="1:12" ht="14.25" hidden="1" x14ac:dyDescent="0.2">
      <c r="A419" s="59"/>
      <c r="B419" s="64"/>
      <c r="C419" s="116" t="s">
        <v>524</v>
      </c>
      <c r="D419" s="117"/>
      <c r="E419" s="117"/>
      <c r="F419" s="117"/>
      <c r="G419" s="117"/>
      <c r="H419" s="117"/>
      <c r="I419" s="46"/>
      <c r="J419" s="59"/>
      <c r="K419" s="44"/>
      <c r="L419" s="46"/>
    </row>
    <row r="420" spans="1:12" ht="14.25" x14ac:dyDescent="0.2">
      <c r="A420" s="59"/>
      <c r="B420" s="64"/>
      <c r="C420" s="117" t="s">
        <v>523</v>
      </c>
      <c r="D420" s="117"/>
      <c r="E420" s="117"/>
      <c r="F420" s="117"/>
      <c r="G420" s="117"/>
      <c r="H420" s="117"/>
      <c r="I420" s="46"/>
      <c r="J420" s="59"/>
      <c r="K420" s="44"/>
      <c r="L420" s="46">
        <f>SUMIF(CD53:CD409, 1, AO53:AO409)</f>
        <v>11134.69</v>
      </c>
    </row>
    <row r="421" spans="1:12" ht="14.25" hidden="1" x14ac:dyDescent="0.2">
      <c r="A421" s="59"/>
      <c r="B421" s="64"/>
      <c r="C421" s="116" t="s">
        <v>525</v>
      </c>
      <c r="D421" s="117"/>
      <c r="E421" s="117"/>
      <c r="F421" s="117"/>
      <c r="G421" s="117"/>
      <c r="H421" s="117"/>
      <c r="I421" s="46"/>
      <c r="J421" s="59"/>
      <c r="K421" s="44"/>
      <c r="L421" s="46"/>
    </row>
    <row r="422" spans="1:12" ht="14.25" x14ac:dyDescent="0.2">
      <c r="A422" s="59"/>
      <c r="B422" s="64"/>
      <c r="C422" s="117" t="s">
        <v>545</v>
      </c>
      <c r="D422" s="117"/>
      <c r="E422" s="117"/>
      <c r="F422" s="117"/>
      <c r="G422" s="117"/>
      <c r="H422" s="117"/>
      <c r="I422" s="46"/>
      <c r="J422" s="59"/>
      <c r="K422" s="44"/>
      <c r="L422" s="46">
        <f>SUMIF(CD53:CD409, 1, AT53:AT409)</f>
        <v>4102.54</v>
      </c>
    </row>
    <row r="423" spans="1:12" ht="14.25" hidden="1" x14ac:dyDescent="0.2">
      <c r="A423" s="59"/>
      <c r="B423" s="64"/>
      <c r="C423" s="117" t="s">
        <v>526</v>
      </c>
      <c r="D423" s="117"/>
      <c r="E423" s="117"/>
      <c r="F423" s="117"/>
      <c r="G423" s="117"/>
      <c r="H423" s="117"/>
      <c r="I423" s="46"/>
      <c r="J423" s="59"/>
      <c r="K423" s="44"/>
      <c r="L423" s="46">
        <f>SUMIF(CD53:CD409, 1, AV53:AV409)</f>
        <v>0</v>
      </c>
    </row>
    <row r="424" spans="1:12" ht="14.25" x14ac:dyDescent="0.2">
      <c r="A424" s="59"/>
      <c r="B424" s="64"/>
      <c r="C424" s="117" t="s">
        <v>527</v>
      </c>
      <c r="D424" s="117"/>
      <c r="E424" s="117"/>
      <c r="F424" s="117"/>
      <c r="G424" s="117"/>
      <c r="H424" s="117"/>
      <c r="I424" s="46"/>
      <c r="J424" s="59"/>
      <c r="K424" s="44"/>
      <c r="L424" s="46">
        <f>L426+L427</f>
        <v>2174.48</v>
      </c>
    </row>
    <row r="425" spans="1:12" ht="14.25" x14ac:dyDescent="0.2">
      <c r="A425" s="59"/>
      <c r="B425" s="64"/>
      <c r="C425" s="116" t="s">
        <v>524</v>
      </c>
      <c r="D425" s="117"/>
      <c r="E425" s="117"/>
      <c r="F425" s="117"/>
      <c r="G425" s="117"/>
      <c r="H425" s="117"/>
      <c r="I425" s="46"/>
      <c r="J425" s="59"/>
      <c r="K425" s="44"/>
      <c r="L425" s="46"/>
    </row>
    <row r="426" spans="1:12" ht="14.25" x14ac:dyDescent="0.2">
      <c r="A426" s="59"/>
      <c r="B426" s="64"/>
      <c r="C426" s="117" t="s">
        <v>528</v>
      </c>
      <c r="D426" s="117"/>
      <c r="E426" s="117"/>
      <c r="F426" s="117"/>
      <c r="G426" s="117"/>
      <c r="H426" s="117"/>
      <c r="I426" s="46"/>
      <c r="J426" s="59"/>
      <c r="K426" s="44"/>
      <c r="L426" s="46">
        <f>SUMIF(CD53:CD409, 1, AW53:AW409)-SUMIF(CD53:CD409, 1, BK53:BK409)</f>
        <v>2174.48</v>
      </c>
    </row>
    <row r="427" spans="1:12" ht="14.25" hidden="1" x14ac:dyDescent="0.2">
      <c r="A427" s="59"/>
      <c r="B427" s="64"/>
      <c r="C427" s="117" t="s">
        <v>529</v>
      </c>
      <c r="D427" s="117"/>
      <c r="E427" s="117"/>
      <c r="F427" s="117"/>
      <c r="G427" s="117"/>
      <c r="H427" s="117"/>
      <c r="I427" s="46"/>
      <c r="J427" s="59"/>
      <c r="K427" s="44"/>
      <c r="L427" s="46">
        <f>SUMIF(CD53:CD409, 1, BC53:BC409)</f>
        <v>0</v>
      </c>
    </row>
    <row r="428" spans="1:12" ht="14.25" x14ac:dyDescent="0.2">
      <c r="A428" s="59"/>
      <c r="B428" s="64"/>
      <c r="C428" s="117" t="s">
        <v>530</v>
      </c>
      <c r="D428" s="117"/>
      <c r="E428" s="117"/>
      <c r="F428" s="117"/>
      <c r="G428" s="117"/>
      <c r="H428" s="117"/>
      <c r="I428" s="46"/>
      <c r="J428" s="59"/>
      <c r="K428" s="44"/>
      <c r="L428" s="46">
        <f>SUMIF(CD53:CD409, 1, BB53:BB409)</f>
        <v>11931.3</v>
      </c>
    </row>
    <row r="429" spans="1:12" ht="14.25" x14ac:dyDescent="0.2">
      <c r="A429" s="59"/>
      <c r="B429" s="64"/>
      <c r="C429" s="117" t="s">
        <v>563</v>
      </c>
      <c r="D429" s="117"/>
      <c r="E429" s="117"/>
      <c r="F429" s="117"/>
      <c r="G429" s="117"/>
      <c r="H429" s="117"/>
      <c r="I429" s="46"/>
      <c r="J429" s="59"/>
      <c r="K429" s="44"/>
      <c r="L429" s="46">
        <f>SUMIF(CD53:CD409, 1, AR53:AR409)+SUMIF(CD53:CD409, 1, AT53:AT409)+SUMIF(CD53:CD409, 1, AV53:AV409)</f>
        <v>43655.420000000006</v>
      </c>
    </row>
    <row r="430" spans="1:12" ht="14.25" x14ac:dyDescent="0.2">
      <c r="A430" s="59"/>
      <c r="B430" s="64"/>
      <c r="C430" s="117" t="s">
        <v>564</v>
      </c>
      <c r="D430" s="117"/>
      <c r="E430" s="117"/>
      <c r="F430" s="117"/>
      <c r="G430" s="117"/>
      <c r="H430" s="117"/>
      <c r="I430" s="46"/>
      <c r="J430" s="59"/>
      <c r="K430" s="44"/>
      <c r="L430" s="46">
        <f>SUMIF(CD53:CD409, 1, AZ53:AZ409)</f>
        <v>44797.19</v>
      </c>
    </row>
    <row r="431" spans="1:12" ht="14.25" x14ac:dyDescent="0.2">
      <c r="A431" s="59"/>
      <c r="B431" s="64"/>
      <c r="C431" s="117" t="s">
        <v>565</v>
      </c>
      <c r="D431" s="117"/>
      <c r="E431" s="117"/>
      <c r="F431" s="117"/>
      <c r="G431" s="117"/>
      <c r="H431" s="117"/>
      <c r="I431" s="46"/>
      <c r="J431" s="59"/>
      <c r="K431" s="44"/>
      <c r="L431" s="46">
        <f>SUMIF(CD53:CD409, 1, BA53:BA409)</f>
        <v>25185.939999999995</v>
      </c>
    </row>
    <row r="433" spans="1:12" ht="15" x14ac:dyDescent="0.2">
      <c r="A433" s="65"/>
      <c r="B433" s="66"/>
      <c r="C433" s="115" t="s">
        <v>566</v>
      </c>
      <c r="D433" s="115"/>
      <c r="E433" s="115"/>
      <c r="F433" s="115"/>
      <c r="G433" s="115"/>
      <c r="H433" s="115"/>
      <c r="I433" s="50"/>
      <c r="J433" s="65"/>
      <c r="K433" s="67"/>
      <c r="L433" s="50">
        <f>L435+L450+L451</f>
        <v>241617.66</v>
      </c>
    </row>
    <row r="434" spans="1:12" ht="14.25" x14ac:dyDescent="0.2">
      <c r="A434" s="59"/>
      <c r="B434" s="64"/>
      <c r="C434" s="116" t="s">
        <v>521</v>
      </c>
      <c r="D434" s="117"/>
      <c r="E434" s="117"/>
      <c r="F434" s="117"/>
      <c r="G434" s="117"/>
      <c r="H434" s="117"/>
      <c r="I434" s="46"/>
      <c r="J434" s="59"/>
      <c r="K434" s="44"/>
      <c r="L434" s="46"/>
    </row>
    <row r="435" spans="1:12" ht="14.25" x14ac:dyDescent="0.2">
      <c r="A435" s="59"/>
      <c r="B435" s="64"/>
      <c r="C435" s="117" t="s">
        <v>561</v>
      </c>
      <c r="D435" s="117"/>
      <c r="E435" s="117"/>
      <c r="F435" s="117"/>
      <c r="G435" s="117"/>
      <c r="H435" s="117"/>
      <c r="I435" s="46"/>
      <c r="J435" s="59"/>
      <c r="K435" s="44"/>
      <c r="L435" s="46">
        <f>L437+L438+L444+L448</f>
        <v>178010.58000000002</v>
      </c>
    </row>
    <row r="436" spans="1:12" ht="14.25" x14ac:dyDescent="0.2">
      <c r="A436" s="59"/>
      <c r="B436" s="64"/>
      <c r="C436" s="116" t="s">
        <v>521</v>
      </c>
      <c r="D436" s="117"/>
      <c r="E436" s="117"/>
      <c r="F436" s="117"/>
      <c r="G436" s="117"/>
      <c r="H436" s="117"/>
      <c r="I436" s="46"/>
      <c r="J436" s="59"/>
      <c r="K436" s="44"/>
      <c r="L436" s="46"/>
    </row>
    <row r="437" spans="1:12" ht="14.25" x14ac:dyDescent="0.2">
      <c r="A437" s="59"/>
      <c r="B437" s="64"/>
      <c r="C437" s="117" t="s">
        <v>562</v>
      </c>
      <c r="D437" s="117"/>
      <c r="E437" s="117"/>
      <c r="F437" s="117"/>
      <c r="G437" s="117"/>
      <c r="H437" s="117"/>
      <c r="I437" s="46"/>
      <c r="J437" s="59"/>
      <c r="K437" s="44"/>
      <c r="L437" s="46">
        <f>SUMIF(CD53:CD431, 2, AR53:AR431)</f>
        <v>25489.739999999998</v>
      </c>
    </row>
    <row r="438" spans="1:12" ht="14.25" hidden="1" x14ac:dyDescent="0.2">
      <c r="A438" s="59"/>
      <c r="B438" s="64"/>
      <c r="C438" s="117" t="s">
        <v>523</v>
      </c>
      <c r="D438" s="117"/>
      <c r="E438" s="117"/>
      <c r="F438" s="117"/>
      <c r="G438" s="117"/>
      <c r="H438" s="117"/>
      <c r="I438" s="46"/>
      <c r="J438" s="59"/>
      <c r="K438" s="44"/>
      <c r="L438" s="46">
        <f>L440+L443+L442</f>
        <v>75003.420000000013</v>
      </c>
    </row>
    <row r="439" spans="1:12" ht="14.25" hidden="1" x14ac:dyDescent="0.2">
      <c r="A439" s="59"/>
      <c r="B439" s="64"/>
      <c r="C439" s="116" t="s">
        <v>524</v>
      </c>
      <c r="D439" s="117"/>
      <c r="E439" s="117"/>
      <c r="F439" s="117"/>
      <c r="G439" s="117"/>
      <c r="H439" s="117"/>
      <c r="I439" s="46"/>
      <c r="J439" s="59"/>
      <c r="K439" s="44"/>
      <c r="L439" s="46"/>
    </row>
    <row r="440" spans="1:12" ht="14.25" x14ac:dyDescent="0.2">
      <c r="A440" s="59"/>
      <c r="B440" s="64"/>
      <c r="C440" s="117" t="s">
        <v>523</v>
      </c>
      <c r="D440" s="117"/>
      <c r="E440" s="117"/>
      <c r="F440" s="117"/>
      <c r="G440" s="117"/>
      <c r="H440" s="117"/>
      <c r="I440" s="46"/>
      <c r="J440" s="59"/>
      <c r="K440" s="44"/>
      <c r="L440" s="46">
        <f>SUMIF(CD53:CD431, 2, AO53:AO431)</f>
        <v>57515.400000000023</v>
      </c>
    </row>
    <row r="441" spans="1:12" ht="14.25" hidden="1" x14ac:dyDescent="0.2">
      <c r="A441" s="59"/>
      <c r="B441" s="64"/>
      <c r="C441" s="116" t="s">
        <v>525</v>
      </c>
      <c r="D441" s="117"/>
      <c r="E441" s="117"/>
      <c r="F441" s="117"/>
      <c r="G441" s="117"/>
      <c r="H441" s="117"/>
      <c r="I441" s="46"/>
      <c r="J441" s="59"/>
      <c r="K441" s="44"/>
      <c r="L441" s="46"/>
    </row>
    <row r="442" spans="1:12" ht="14.25" x14ac:dyDescent="0.2">
      <c r="A442" s="59"/>
      <c r="B442" s="64"/>
      <c r="C442" s="117" t="s">
        <v>545</v>
      </c>
      <c r="D442" s="117"/>
      <c r="E442" s="117"/>
      <c r="F442" s="117"/>
      <c r="G442" s="117"/>
      <c r="H442" s="117"/>
      <c r="I442" s="46"/>
      <c r="J442" s="59"/>
      <c r="K442" s="44"/>
      <c r="L442" s="46">
        <f>SUMIF(CD53:CD431, 2, AT53:AT431)</f>
        <v>17488.019999999997</v>
      </c>
    </row>
    <row r="443" spans="1:12" ht="14.25" hidden="1" x14ac:dyDescent="0.2">
      <c r="A443" s="59"/>
      <c r="B443" s="64"/>
      <c r="C443" s="117" t="s">
        <v>526</v>
      </c>
      <c r="D443" s="117"/>
      <c r="E443" s="117"/>
      <c r="F443" s="117"/>
      <c r="G443" s="117"/>
      <c r="H443" s="117"/>
      <c r="I443" s="46"/>
      <c r="J443" s="59"/>
      <c r="K443" s="44"/>
      <c r="L443" s="46">
        <f>SUMIF(CD53:CD431, 2, AV53:AV431)</f>
        <v>0</v>
      </c>
    </row>
    <row r="444" spans="1:12" ht="14.25" x14ac:dyDescent="0.2">
      <c r="A444" s="59"/>
      <c r="B444" s="64"/>
      <c r="C444" s="117" t="s">
        <v>527</v>
      </c>
      <c r="D444" s="117"/>
      <c r="E444" s="117"/>
      <c r="F444" s="117"/>
      <c r="G444" s="117"/>
      <c r="H444" s="117"/>
      <c r="I444" s="46"/>
      <c r="J444" s="59"/>
      <c r="K444" s="44"/>
      <c r="L444" s="46">
        <f>L446+L447</f>
        <v>77517.420000000013</v>
      </c>
    </row>
    <row r="445" spans="1:12" ht="14.25" x14ac:dyDescent="0.2">
      <c r="A445" s="59"/>
      <c r="B445" s="64"/>
      <c r="C445" s="116" t="s">
        <v>524</v>
      </c>
      <c r="D445" s="117"/>
      <c r="E445" s="117"/>
      <c r="F445" s="117"/>
      <c r="G445" s="117"/>
      <c r="H445" s="117"/>
      <c r="I445" s="46"/>
      <c r="J445" s="59"/>
      <c r="K445" s="44"/>
      <c r="L445" s="46"/>
    </row>
    <row r="446" spans="1:12" ht="14.25" x14ac:dyDescent="0.2">
      <c r="A446" s="59"/>
      <c r="B446" s="64"/>
      <c r="C446" s="117" t="s">
        <v>528</v>
      </c>
      <c r="D446" s="117"/>
      <c r="E446" s="117"/>
      <c r="F446" s="117"/>
      <c r="G446" s="117"/>
      <c r="H446" s="117"/>
      <c r="I446" s="46"/>
      <c r="J446" s="59"/>
      <c r="K446" s="44"/>
      <c r="L446" s="46">
        <f>SUMIF(CD53:CD431, 2, AW53:AW431)-SUMIF(CD53:CD431, 2, BK53:BK431)</f>
        <v>77517.420000000013</v>
      </c>
    </row>
    <row r="447" spans="1:12" ht="14.25" hidden="1" x14ac:dyDescent="0.2">
      <c r="A447" s="59"/>
      <c r="B447" s="64"/>
      <c r="C447" s="117" t="s">
        <v>529</v>
      </c>
      <c r="D447" s="117"/>
      <c r="E447" s="117"/>
      <c r="F447" s="117"/>
      <c r="G447" s="117"/>
      <c r="H447" s="117"/>
      <c r="I447" s="46"/>
      <c r="J447" s="59"/>
      <c r="K447" s="44"/>
      <c r="L447" s="46">
        <f>SUMIF(CD53:CD431, 2, BC53:BC431)</f>
        <v>0</v>
      </c>
    </row>
    <row r="448" spans="1:12" ht="14.25" hidden="1" x14ac:dyDescent="0.2">
      <c r="A448" s="59"/>
      <c r="B448" s="64"/>
      <c r="C448" s="117" t="s">
        <v>530</v>
      </c>
      <c r="D448" s="117"/>
      <c r="E448" s="117"/>
      <c r="F448" s="117"/>
      <c r="G448" s="117"/>
      <c r="H448" s="117"/>
      <c r="I448" s="46"/>
      <c r="J448" s="59"/>
      <c r="K448" s="44"/>
      <c r="L448" s="46">
        <f>SUMIF(CD53:CD431, 2, BB53:BB431)</f>
        <v>0</v>
      </c>
    </row>
    <row r="449" spans="1:12" ht="14.25" x14ac:dyDescent="0.2">
      <c r="A449" s="59"/>
      <c r="B449" s="64"/>
      <c r="C449" s="117" t="s">
        <v>563</v>
      </c>
      <c r="D449" s="117"/>
      <c r="E449" s="117"/>
      <c r="F449" s="117"/>
      <c r="G449" s="117"/>
      <c r="H449" s="117"/>
      <c r="I449" s="46"/>
      <c r="J449" s="59"/>
      <c r="K449" s="44"/>
      <c r="L449" s="46">
        <f>SUMIF(CD53:CD431, 2, AR53:AR431)+SUMIF(CD53:CD431, 2, AT53:AT431)+SUMIF(CD53:CD431, 2, AV53:AV431)</f>
        <v>42977.759999999995</v>
      </c>
    </row>
    <row r="450" spans="1:12" ht="14.25" x14ac:dyDescent="0.2">
      <c r="A450" s="59"/>
      <c r="B450" s="64"/>
      <c r="C450" s="117" t="s">
        <v>564</v>
      </c>
      <c r="D450" s="117"/>
      <c r="E450" s="117"/>
      <c r="F450" s="117"/>
      <c r="G450" s="117"/>
      <c r="H450" s="117"/>
      <c r="I450" s="46"/>
      <c r="J450" s="59"/>
      <c r="K450" s="44"/>
      <c r="L450" s="46">
        <f>SUMIF(CD53:CD431, 2, AZ53:AZ431)</f>
        <v>41688.42</v>
      </c>
    </row>
    <row r="451" spans="1:12" ht="14.25" x14ac:dyDescent="0.2">
      <c r="A451" s="59"/>
      <c r="B451" s="64"/>
      <c r="C451" s="117" t="s">
        <v>565</v>
      </c>
      <c r="D451" s="117"/>
      <c r="E451" s="117"/>
      <c r="F451" s="117"/>
      <c r="G451" s="117"/>
      <c r="H451" s="117"/>
      <c r="I451" s="46"/>
      <c r="J451" s="59"/>
      <c r="K451" s="44"/>
      <c r="L451" s="46">
        <f>SUMIF(CD53:CD431, 2, BA53:BA431)</f>
        <v>21918.660000000003</v>
      </c>
    </row>
    <row r="452" spans="1:12" hidden="1" x14ac:dyDescent="0.2"/>
    <row r="453" spans="1:12" ht="15" hidden="1" x14ac:dyDescent="0.2">
      <c r="A453" s="65"/>
      <c r="B453" s="66"/>
      <c r="C453" s="115" t="s">
        <v>567</v>
      </c>
      <c r="D453" s="115"/>
      <c r="E453" s="115"/>
      <c r="F453" s="115"/>
      <c r="G453" s="115"/>
      <c r="H453" s="115"/>
      <c r="I453" s="50"/>
      <c r="J453" s="65"/>
      <c r="K453" s="67"/>
      <c r="L453" s="50">
        <f>L455+L456</f>
        <v>0</v>
      </c>
    </row>
    <row r="454" spans="1:12" ht="14.25" hidden="1" x14ac:dyDescent="0.2">
      <c r="A454" s="59"/>
      <c r="B454" s="64"/>
      <c r="C454" s="116" t="s">
        <v>521</v>
      </c>
      <c r="D454" s="117"/>
      <c r="E454" s="117"/>
      <c r="F454" s="117"/>
      <c r="G454" s="117"/>
      <c r="H454" s="117"/>
      <c r="I454" s="46"/>
      <c r="J454" s="59"/>
      <c r="K454" s="44"/>
      <c r="L454" s="46"/>
    </row>
    <row r="455" spans="1:12" ht="14.25" hidden="1" x14ac:dyDescent="0.2">
      <c r="A455" s="59"/>
      <c r="B455" s="64"/>
      <c r="C455" s="117" t="s">
        <v>535</v>
      </c>
      <c r="D455" s="117"/>
      <c r="E455" s="117"/>
      <c r="F455" s="117"/>
      <c r="G455" s="117"/>
      <c r="H455" s="117"/>
      <c r="I455" s="46"/>
      <c r="J455" s="59"/>
      <c r="K455" s="44"/>
      <c r="L455" s="46">
        <f>SUMIF(CD53:CD451, 3, BK53:BK451)</f>
        <v>0</v>
      </c>
    </row>
    <row r="456" spans="1:12" ht="14.25" hidden="1" x14ac:dyDescent="0.2">
      <c r="A456" s="59"/>
      <c r="B456" s="64"/>
      <c r="C456" s="117" t="s">
        <v>536</v>
      </c>
      <c r="D456" s="117"/>
      <c r="E456" s="117"/>
      <c r="F456" s="117"/>
      <c r="G456" s="117"/>
      <c r="H456" s="117"/>
      <c r="I456" s="46"/>
      <c r="J456" s="59"/>
      <c r="K456" s="44"/>
      <c r="L456" s="46">
        <f>SUMIF(CD53:CD451, 3, BD53:BD451)</f>
        <v>0</v>
      </c>
    </row>
    <row r="458" spans="1:12" ht="15" x14ac:dyDescent="0.2">
      <c r="A458" s="65"/>
      <c r="B458" s="66"/>
      <c r="C458" s="115" t="s">
        <v>568</v>
      </c>
      <c r="D458" s="115"/>
      <c r="E458" s="115"/>
      <c r="F458" s="115"/>
      <c r="G458" s="115"/>
      <c r="H458" s="115"/>
      <c r="I458" s="50"/>
      <c r="J458" s="65"/>
      <c r="K458" s="67"/>
      <c r="L458" s="50">
        <f>L464+L479+L480+L460+L461</f>
        <v>5536.7999999999993</v>
      </c>
    </row>
    <row r="459" spans="1:12" ht="14.25" x14ac:dyDescent="0.2">
      <c r="A459" s="59"/>
      <c r="B459" s="64"/>
      <c r="C459" s="116" t="s">
        <v>521</v>
      </c>
      <c r="D459" s="117"/>
      <c r="E459" s="117"/>
      <c r="F459" s="117"/>
      <c r="G459" s="117"/>
      <c r="H459" s="117"/>
      <c r="I459" s="46"/>
      <c r="J459" s="59"/>
      <c r="K459" s="44"/>
      <c r="L459" s="46"/>
    </row>
    <row r="460" spans="1:12" ht="14.25" hidden="1" x14ac:dyDescent="0.2">
      <c r="A460" s="59"/>
      <c r="B460" s="64"/>
      <c r="C460" s="117" t="s">
        <v>569</v>
      </c>
      <c r="D460" s="117"/>
      <c r="E460" s="117"/>
      <c r="F460" s="117"/>
      <c r="G460" s="117"/>
      <c r="H460" s="117"/>
      <c r="I460" s="46"/>
      <c r="J460" s="59"/>
      <c r="K460" s="44"/>
      <c r="L460" s="46"/>
    </row>
    <row r="461" spans="1:12" ht="14.25" hidden="1" x14ac:dyDescent="0.2">
      <c r="A461" s="59"/>
      <c r="B461" s="64"/>
      <c r="C461" s="117" t="s">
        <v>570</v>
      </c>
      <c r="D461" s="117"/>
      <c r="E461" s="117"/>
      <c r="F461" s="117"/>
      <c r="G461" s="117"/>
      <c r="H461" s="117"/>
      <c r="I461" s="46"/>
      <c r="J461" s="59"/>
      <c r="K461" s="44"/>
      <c r="L461" s="46">
        <f>SUM(BO53:BO456)</f>
        <v>0</v>
      </c>
    </row>
    <row r="462" spans="1:12" ht="14.25" x14ac:dyDescent="0.2">
      <c r="A462" s="59"/>
      <c r="B462" s="64"/>
      <c r="C462" s="117" t="s">
        <v>218</v>
      </c>
      <c r="D462" s="117"/>
      <c r="E462" s="117"/>
      <c r="F462" s="117"/>
      <c r="G462" s="117"/>
      <c r="H462" s="117"/>
      <c r="I462" s="46"/>
      <c r="J462" s="59"/>
      <c r="K462" s="44"/>
      <c r="L462" s="46">
        <f>L464+L479+L480</f>
        <v>5536.7999999999993</v>
      </c>
    </row>
    <row r="463" spans="1:12" ht="14.25" x14ac:dyDescent="0.2">
      <c r="A463" s="59"/>
      <c r="B463" s="64"/>
      <c r="C463" s="116" t="s">
        <v>521</v>
      </c>
      <c r="D463" s="117"/>
      <c r="E463" s="117"/>
      <c r="F463" s="117"/>
      <c r="G463" s="117"/>
      <c r="H463" s="117"/>
      <c r="I463" s="46"/>
      <c r="J463" s="59"/>
      <c r="K463" s="44"/>
      <c r="L463" s="46"/>
    </row>
    <row r="464" spans="1:12" ht="14.25" x14ac:dyDescent="0.2">
      <c r="A464" s="59"/>
      <c r="B464" s="64"/>
      <c r="C464" s="117" t="s">
        <v>561</v>
      </c>
      <c r="D464" s="117"/>
      <c r="E464" s="117"/>
      <c r="F464" s="117"/>
      <c r="G464" s="117"/>
      <c r="H464" s="117"/>
      <c r="I464" s="46"/>
      <c r="J464" s="59"/>
      <c r="K464" s="44"/>
      <c r="L464" s="46">
        <f>L466+L467+L473+L477</f>
        <v>2636.5699999999997</v>
      </c>
    </row>
    <row r="465" spans="1:12" ht="14.25" x14ac:dyDescent="0.2">
      <c r="A465" s="59"/>
      <c r="B465" s="64"/>
      <c r="C465" s="116" t="s">
        <v>521</v>
      </c>
      <c r="D465" s="117"/>
      <c r="E465" s="117"/>
      <c r="F465" s="117"/>
      <c r="G465" s="117"/>
      <c r="H465" s="117"/>
      <c r="I465" s="46"/>
      <c r="J465" s="59"/>
      <c r="K465" s="44"/>
      <c r="L465" s="46"/>
    </row>
    <row r="466" spans="1:12" ht="14.25" x14ac:dyDescent="0.2">
      <c r="A466" s="59"/>
      <c r="B466" s="64"/>
      <c r="C466" s="117" t="s">
        <v>562</v>
      </c>
      <c r="D466" s="117"/>
      <c r="E466" s="117"/>
      <c r="F466" s="117"/>
      <c r="G466" s="117"/>
      <c r="H466" s="117"/>
      <c r="I466" s="46"/>
      <c r="J466" s="59"/>
      <c r="K466" s="44"/>
      <c r="L466" s="46">
        <f>SUMIF(CD53:CD456, 4, AR53:AR456)</f>
        <v>2636.5699999999997</v>
      </c>
    </row>
    <row r="467" spans="1:12" ht="14.25" hidden="1" x14ac:dyDescent="0.2">
      <c r="A467" s="59"/>
      <c r="B467" s="64"/>
      <c r="C467" s="117" t="s">
        <v>523</v>
      </c>
      <c r="D467" s="117"/>
      <c r="E467" s="117"/>
      <c r="F467" s="117"/>
      <c r="G467" s="117"/>
      <c r="H467" s="117"/>
      <c r="I467" s="46"/>
      <c r="J467" s="59"/>
      <c r="K467" s="44"/>
      <c r="L467" s="46">
        <f>L469+L472+L471</f>
        <v>0</v>
      </c>
    </row>
    <row r="468" spans="1:12" ht="14.25" hidden="1" x14ac:dyDescent="0.2">
      <c r="A468" s="59"/>
      <c r="B468" s="64"/>
      <c r="C468" s="116" t="s">
        <v>524</v>
      </c>
      <c r="D468" s="117"/>
      <c r="E468" s="117"/>
      <c r="F468" s="117"/>
      <c r="G468" s="117"/>
      <c r="H468" s="117"/>
      <c r="I468" s="46"/>
      <c r="J468" s="59"/>
      <c r="K468" s="44"/>
      <c r="L468" s="46"/>
    </row>
    <row r="469" spans="1:12" ht="14.25" hidden="1" x14ac:dyDescent="0.2">
      <c r="A469" s="59"/>
      <c r="B469" s="64"/>
      <c r="C469" s="117" t="s">
        <v>523</v>
      </c>
      <c r="D469" s="117"/>
      <c r="E469" s="117"/>
      <c r="F469" s="117"/>
      <c r="G469" s="117"/>
      <c r="H469" s="117"/>
      <c r="I469" s="46"/>
      <c r="J469" s="59"/>
      <c r="K469" s="44"/>
      <c r="L469" s="46">
        <f>SUMIF(CD53:CD456, 4, AO53:AO456)</f>
        <v>0</v>
      </c>
    </row>
    <row r="470" spans="1:12" ht="14.25" hidden="1" x14ac:dyDescent="0.2">
      <c r="A470" s="59"/>
      <c r="B470" s="64"/>
      <c r="C470" s="116" t="s">
        <v>525</v>
      </c>
      <c r="D470" s="117"/>
      <c r="E470" s="117"/>
      <c r="F470" s="117"/>
      <c r="G470" s="117"/>
      <c r="H470" s="117"/>
      <c r="I470" s="46"/>
      <c r="J470" s="59"/>
      <c r="K470" s="44"/>
      <c r="L470" s="46"/>
    </row>
    <row r="471" spans="1:12" ht="14.25" hidden="1" x14ac:dyDescent="0.2">
      <c r="A471" s="59"/>
      <c r="B471" s="64"/>
      <c r="C471" s="117" t="s">
        <v>545</v>
      </c>
      <c r="D471" s="117"/>
      <c r="E471" s="117"/>
      <c r="F471" s="117"/>
      <c r="G471" s="117"/>
      <c r="H471" s="117"/>
      <c r="I471" s="46"/>
      <c r="J471" s="59"/>
      <c r="K471" s="44"/>
      <c r="L471" s="46">
        <f>SUMIF(CD53:CD456, 4, AT53:AT456)</f>
        <v>0</v>
      </c>
    </row>
    <row r="472" spans="1:12" ht="14.25" hidden="1" x14ac:dyDescent="0.2">
      <c r="A472" s="59"/>
      <c r="B472" s="64"/>
      <c r="C472" s="117" t="s">
        <v>526</v>
      </c>
      <c r="D472" s="117"/>
      <c r="E472" s="117"/>
      <c r="F472" s="117"/>
      <c r="G472" s="117"/>
      <c r="H472" s="117"/>
      <c r="I472" s="46"/>
      <c r="J472" s="59"/>
      <c r="K472" s="44"/>
      <c r="L472" s="46">
        <f>SUMIF(CD53:CD456, 4, AV53:AV456)</f>
        <v>0</v>
      </c>
    </row>
    <row r="473" spans="1:12" ht="14.25" hidden="1" x14ac:dyDescent="0.2">
      <c r="A473" s="59"/>
      <c r="B473" s="64"/>
      <c r="C473" s="117" t="s">
        <v>527</v>
      </c>
      <c r="D473" s="117"/>
      <c r="E473" s="117"/>
      <c r="F473" s="117"/>
      <c r="G473" s="117"/>
      <c r="H473" s="117"/>
      <c r="I473" s="46"/>
      <c r="J473" s="59"/>
      <c r="K473" s="44"/>
      <c r="L473" s="46">
        <f>L475+L476</f>
        <v>0</v>
      </c>
    </row>
    <row r="474" spans="1:12" ht="14.25" hidden="1" x14ac:dyDescent="0.2">
      <c r="A474" s="59"/>
      <c r="B474" s="64"/>
      <c r="C474" s="116" t="s">
        <v>524</v>
      </c>
      <c r="D474" s="117"/>
      <c r="E474" s="117"/>
      <c r="F474" s="117"/>
      <c r="G474" s="117"/>
      <c r="H474" s="117"/>
      <c r="I474" s="46"/>
      <c r="J474" s="59"/>
      <c r="K474" s="44"/>
      <c r="L474" s="46"/>
    </row>
    <row r="475" spans="1:12" ht="14.25" hidden="1" x14ac:dyDescent="0.2">
      <c r="A475" s="59"/>
      <c r="B475" s="64"/>
      <c r="C475" s="117" t="s">
        <v>528</v>
      </c>
      <c r="D475" s="117"/>
      <c r="E475" s="117"/>
      <c r="F475" s="117"/>
      <c r="G475" s="117"/>
      <c r="H475" s="117"/>
      <c r="I475" s="46"/>
      <c r="J475" s="59"/>
      <c r="K475" s="44"/>
      <c r="L475" s="46">
        <f>SUMIF(CD53:CD456, 4, AW53:AW456)-SUMIF(CD53:CD456, 4, BK53:BK456)</f>
        <v>0</v>
      </c>
    </row>
    <row r="476" spans="1:12" ht="14.25" hidden="1" x14ac:dyDescent="0.2">
      <c r="A476" s="59"/>
      <c r="B476" s="64"/>
      <c r="C476" s="117" t="s">
        <v>529</v>
      </c>
      <c r="D476" s="117"/>
      <c r="E476" s="117"/>
      <c r="F476" s="117"/>
      <c r="G476" s="117"/>
      <c r="H476" s="117"/>
      <c r="I476" s="46"/>
      <c r="J476" s="59"/>
      <c r="K476" s="44"/>
      <c r="L476" s="46">
        <f>SUMIF(CD53:CD456, 4, BC53:BC456)</f>
        <v>0</v>
      </c>
    </row>
    <row r="477" spans="1:12" ht="14.25" hidden="1" x14ac:dyDescent="0.2">
      <c r="A477" s="59"/>
      <c r="B477" s="64"/>
      <c r="C477" s="117" t="s">
        <v>530</v>
      </c>
      <c r="D477" s="117"/>
      <c r="E477" s="117"/>
      <c r="F477" s="117"/>
      <c r="G477" s="117"/>
      <c r="H477" s="117"/>
      <c r="I477" s="46"/>
      <c r="J477" s="59"/>
      <c r="K477" s="44"/>
      <c r="L477" s="46">
        <f>SUMIF(CD53:CD456, 4, BB53:BB456)</f>
        <v>0</v>
      </c>
    </row>
    <row r="478" spans="1:12" ht="14.25" x14ac:dyDescent="0.2">
      <c r="A478" s="59"/>
      <c r="B478" s="64"/>
      <c r="C478" s="117" t="s">
        <v>563</v>
      </c>
      <c r="D478" s="117"/>
      <c r="E478" s="117"/>
      <c r="F478" s="117"/>
      <c r="G478" s="117"/>
      <c r="H478" s="117"/>
      <c r="I478" s="46"/>
      <c r="J478" s="59"/>
      <c r="K478" s="44"/>
      <c r="L478" s="46">
        <f>SUMIF(CD53:CD456, 4, AR53:AR456)+SUMIF(CD53:CD456, 4, AT53:AT456)+SUMIF(CD53:CD456, 4, AV53:AV456)</f>
        <v>2636.5699999999997</v>
      </c>
    </row>
    <row r="479" spans="1:12" ht="14.25" x14ac:dyDescent="0.2">
      <c r="A479" s="59"/>
      <c r="B479" s="64"/>
      <c r="C479" s="117" t="s">
        <v>564</v>
      </c>
      <c r="D479" s="117"/>
      <c r="E479" s="117"/>
      <c r="F479" s="117"/>
      <c r="G479" s="117"/>
      <c r="H479" s="117"/>
      <c r="I479" s="46"/>
      <c r="J479" s="59"/>
      <c r="K479" s="44"/>
      <c r="L479" s="46">
        <f>SUMIF(CD53:CD456, 4, AZ53:AZ456)</f>
        <v>1951.0700000000002</v>
      </c>
    </row>
    <row r="480" spans="1:12" ht="14.25" x14ac:dyDescent="0.2">
      <c r="A480" s="59"/>
      <c r="B480" s="64"/>
      <c r="C480" s="117" t="s">
        <v>565</v>
      </c>
      <c r="D480" s="117"/>
      <c r="E480" s="117"/>
      <c r="F480" s="117"/>
      <c r="G480" s="117"/>
      <c r="H480" s="117"/>
      <c r="I480" s="46"/>
      <c r="J480" s="59"/>
      <c r="K480" s="44"/>
      <c r="L480" s="46">
        <f>SUMIF(CD53:CD456, 4, BA53:BA456)</f>
        <v>949.16000000000008</v>
      </c>
    </row>
    <row r="482" spans="1:12" ht="15" x14ac:dyDescent="0.2">
      <c r="A482" s="65"/>
      <c r="B482" s="66"/>
      <c r="C482" s="115" t="s">
        <v>571</v>
      </c>
      <c r="D482" s="115"/>
      <c r="E482" s="115"/>
      <c r="F482" s="115"/>
      <c r="G482" s="115"/>
      <c r="H482" s="115"/>
      <c r="I482" s="50"/>
      <c r="J482" s="65"/>
      <c r="K482" s="67"/>
      <c r="L482" s="50">
        <f>L413+L433+L453+L458</f>
        <v>386033.48</v>
      </c>
    </row>
    <row r="483" spans="1:12" ht="14.25" x14ac:dyDescent="0.2">
      <c r="A483" s="59"/>
      <c r="B483" s="64"/>
      <c r="C483" s="116" t="s">
        <v>521</v>
      </c>
      <c r="D483" s="117"/>
      <c r="E483" s="117"/>
      <c r="F483" s="117"/>
      <c r="G483" s="117"/>
      <c r="H483" s="117"/>
      <c r="I483" s="46"/>
      <c r="J483" s="59"/>
      <c r="K483" s="44"/>
      <c r="L483" s="46"/>
    </row>
    <row r="484" spans="1:12" ht="14.25" x14ac:dyDescent="0.2">
      <c r="A484" s="59"/>
      <c r="B484" s="64"/>
      <c r="C484" s="117" t="s">
        <v>561</v>
      </c>
      <c r="D484" s="117"/>
      <c r="E484" s="117"/>
      <c r="F484" s="117"/>
      <c r="G484" s="117"/>
      <c r="H484" s="117"/>
      <c r="I484" s="46"/>
      <c r="J484" s="59"/>
      <c r="K484" s="44"/>
      <c r="L484" s="46">
        <f>L486+L487+L493+L497</f>
        <v>249543.04000000004</v>
      </c>
    </row>
    <row r="485" spans="1:12" ht="14.25" x14ac:dyDescent="0.2">
      <c r="A485" s="59"/>
      <c r="B485" s="64"/>
      <c r="C485" s="116" t="s">
        <v>521</v>
      </c>
      <c r="D485" s="117"/>
      <c r="E485" s="117"/>
      <c r="F485" s="117"/>
      <c r="G485" s="117"/>
      <c r="H485" s="117"/>
      <c r="I485" s="46"/>
      <c r="J485" s="59"/>
      <c r="K485" s="44"/>
      <c r="L485" s="46"/>
    </row>
    <row r="486" spans="1:12" ht="14.25" x14ac:dyDescent="0.2">
      <c r="A486" s="59"/>
      <c r="B486" s="64"/>
      <c r="C486" s="117" t="s">
        <v>562</v>
      </c>
      <c r="D486" s="117"/>
      <c r="E486" s="117"/>
      <c r="F486" s="117"/>
      <c r="G486" s="117"/>
      <c r="H486" s="117"/>
      <c r="I486" s="46"/>
      <c r="J486" s="59"/>
      <c r="K486" s="44"/>
      <c r="L486" s="46">
        <f>SUM(AR53:AR480)</f>
        <v>67679.19</v>
      </c>
    </row>
    <row r="487" spans="1:12" ht="14.25" hidden="1" x14ac:dyDescent="0.2">
      <c r="A487" s="59"/>
      <c r="B487" s="64"/>
      <c r="C487" s="117" t="s">
        <v>523</v>
      </c>
      <c r="D487" s="117"/>
      <c r="E487" s="117"/>
      <c r="F487" s="117"/>
      <c r="G487" s="117"/>
      <c r="H487" s="117"/>
      <c r="I487" s="46"/>
      <c r="J487" s="59"/>
      <c r="K487" s="44"/>
      <c r="L487" s="46">
        <f>L489+L492+L491</f>
        <v>90240.650000000023</v>
      </c>
    </row>
    <row r="488" spans="1:12" ht="14.25" hidden="1" x14ac:dyDescent="0.2">
      <c r="A488" s="59"/>
      <c r="B488" s="64"/>
      <c r="C488" s="116" t="s">
        <v>524</v>
      </c>
      <c r="D488" s="117"/>
      <c r="E488" s="117"/>
      <c r="F488" s="117"/>
      <c r="G488" s="117"/>
      <c r="H488" s="117"/>
      <c r="I488" s="46"/>
      <c r="J488" s="59"/>
      <c r="K488" s="44"/>
      <c r="L488" s="46"/>
    </row>
    <row r="489" spans="1:12" ht="14.25" x14ac:dyDescent="0.2">
      <c r="A489" s="59"/>
      <c r="B489" s="64"/>
      <c r="C489" s="117" t="s">
        <v>523</v>
      </c>
      <c r="D489" s="117"/>
      <c r="E489" s="117"/>
      <c r="F489" s="117"/>
      <c r="G489" s="117"/>
      <c r="H489" s="117"/>
      <c r="I489" s="46"/>
      <c r="J489" s="59"/>
      <c r="K489" s="44"/>
      <c r="L489" s="46">
        <f>SUM(AO53:AO480)</f>
        <v>68650.090000000026</v>
      </c>
    </row>
    <row r="490" spans="1:12" ht="14.25" hidden="1" x14ac:dyDescent="0.2">
      <c r="A490" s="59"/>
      <c r="B490" s="64"/>
      <c r="C490" s="116" t="s">
        <v>525</v>
      </c>
      <c r="D490" s="117"/>
      <c r="E490" s="117"/>
      <c r="F490" s="117"/>
      <c r="G490" s="117"/>
      <c r="H490" s="117"/>
      <c r="I490" s="46"/>
      <c r="J490" s="59"/>
      <c r="K490" s="44"/>
      <c r="L490" s="46"/>
    </row>
    <row r="491" spans="1:12" ht="14.25" x14ac:dyDescent="0.2">
      <c r="A491" s="59"/>
      <c r="B491" s="64"/>
      <c r="C491" s="117" t="s">
        <v>545</v>
      </c>
      <c r="D491" s="117"/>
      <c r="E491" s="117"/>
      <c r="F491" s="117"/>
      <c r="G491" s="117"/>
      <c r="H491" s="117"/>
      <c r="I491" s="46"/>
      <c r="J491" s="59"/>
      <c r="K491" s="44"/>
      <c r="L491" s="46">
        <f>SUM(AT53:AT480)</f>
        <v>21590.559999999998</v>
      </c>
    </row>
    <row r="492" spans="1:12" ht="14.25" hidden="1" x14ac:dyDescent="0.2">
      <c r="A492" s="59"/>
      <c r="B492" s="64"/>
      <c r="C492" s="117" t="s">
        <v>526</v>
      </c>
      <c r="D492" s="117"/>
      <c r="E492" s="117"/>
      <c r="F492" s="117"/>
      <c r="G492" s="117"/>
      <c r="H492" s="117"/>
      <c r="I492" s="46"/>
      <c r="J492" s="59"/>
      <c r="K492" s="44"/>
      <c r="L492" s="46">
        <f>SUM(AV53:AV480)</f>
        <v>0</v>
      </c>
    </row>
    <row r="493" spans="1:12" ht="14.25" x14ac:dyDescent="0.2">
      <c r="A493" s="59"/>
      <c r="B493" s="64"/>
      <c r="C493" s="117" t="s">
        <v>527</v>
      </c>
      <c r="D493" s="117"/>
      <c r="E493" s="117"/>
      <c r="F493" s="117"/>
      <c r="G493" s="117"/>
      <c r="H493" s="117"/>
      <c r="I493" s="46"/>
      <c r="J493" s="59"/>
      <c r="K493" s="44"/>
      <c r="L493" s="46">
        <f>L495+L496</f>
        <v>79691.900000000009</v>
      </c>
    </row>
    <row r="494" spans="1:12" ht="14.25" x14ac:dyDescent="0.2">
      <c r="A494" s="59"/>
      <c r="B494" s="64"/>
      <c r="C494" s="116" t="s">
        <v>524</v>
      </c>
      <c r="D494" s="117"/>
      <c r="E494" s="117"/>
      <c r="F494" s="117"/>
      <c r="G494" s="117"/>
      <c r="H494" s="117"/>
      <c r="I494" s="46"/>
      <c r="J494" s="59"/>
      <c r="K494" s="44"/>
      <c r="L494" s="46"/>
    </row>
    <row r="495" spans="1:12" ht="14.25" x14ac:dyDescent="0.2">
      <c r="A495" s="59"/>
      <c r="B495" s="64"/>
      <c r="C495" s="117" t="s">
        <v>528</v>
      </c>
      <c r="D495" s="117"/>
      <c r="E495" s="117"/>
      <c r="F495" s="117"/>
      <c r="G495" s="117"/>
      <c r="H495" s="117"/>
      <c r="I495" s="46"/>
      <c r="J495" s="59"/>
      <c r="K495" s="44"/>
      <c r="L495" s="46">
        <f>SUM(AW53:AW480)-SUM(BK53:BK480)</f>
        <v>79691.900000000009</v>
      </c>
    </row>
    <row r="496" spans="1:12" ht="14.25" hidden="1" x14ac:dyDescent="0.2">
      <c r="A496" s="59"/>
      <c r="B496" s="64"/>
      <c r="C496" s="117" t="s">
        <v>529</v>
      </c>
      <c r="D496" s="117"/>
      <c r="E496" s="117"/>
      <c r="F496" s="117"/>
      <c r="G496" s="117"/>
      <c r="H496" s="117"/>
      <c r="I496" s="46"/>
      <c r="J496" s="59"/>
      <c r="K496" s="44"/>
      <c r="L496" s="46">
        <f>SUM(BC53:BC480)</f>
        <v>0</v>
      </c>
    </row>
    <row r="497" spans="1:12" ht="14.25" x14ac:dyDescent="0.2">
      <c r="A497" s="59"/>
      <c r="B497" s="64"/>
      <c r="C497" s="117" t="s">
        <v>530</v>
      </c>
      <c r="D497" s="117"/>
      <c r="E497" s="117"/>
      <c r="F497" s="117"/>
      <c r="G497" s="117"/>
      <c r="H497" s="117"/>
      <c r="I497" s="46"/>
      <c r="J497" s="59"/>
      <c r="K497" s="44"/>
      <c r="L497" s="46">
        <f>SUM(BB53:BB480)</f>
        <v>11931.3</v>
      </c>
    </row>
    <row r="498" spans="1:12" ht="14.25" x14ac:dyDescent="0.2">
      <c r="A498" s="59"/>
      <c r="B498" s="64"/>
      <c r="C498" s="117" t="s">
        <v>531</v>
      </c>
      <c r="D498" s="117"/>
      <c r="E498" s="117"/>
      <c r="F498" s="117"/>
      <c r="G498" s="117"/>
      <c r="H498" s="117"/>
      <c r="I498" s="46"/>
      <c r="J498" s="59"/>
      <c r="K498" s="44"/>
      <c r="L498" s="46">
        <f>SUM(AR53:AR480)+SUM(AT53:AT480)+SUM(AV53:AV480)</f>
        <v>89269.75</v>
      </c>
    </row>
    <row r="499" spans="1:12" ht="14.25" x14ac:dyDescent="0.2">
      <c r="A499" s="59"/>
      <c r="B499" s="64"/>
      <c r="C499" s="117" t="s">
        <v>532</v>
      </c>
      <c r="D499" s="117"/>
      <c r="E499" s="117"/>
      <c r="F499" s="117"/>
      <c r="G499" s="117"/>
      <c r="H499" s="117"/>
      <c r="I499" s="46"/>
      <c r="J499" s="59"/>
      <c r="K499" s="44"/>
      <c r="L499" s="46">
        <f>SUM(AZ53:AZ480)</f>
        <v>88436.68</v>
      </c>
    </row>
    <row r="500" spans="1:12" ht="14.25" x14ac:dyDescent="0.2">
      <c r="A500" s="59"/>
      <c r="B500" s="64"/>
      <c r="C500" s="117" t="s">
        <v>533</v>
      </c>
      <c r="D500" s="117"/>
      <c r="E500" s="117"/>
      <c r="F500" s="117"/>
      <c r="G500" s="117"/>
      <c r="H500" s="117"/>
      <c r="I500" s="46"/>
      <c r="J500" s="59"/>
      <c r="K500" s="44"/>
      <c r="L500" s="46">
        <f>SUM(BA53:BA480)</f>
        <v>48053.760000000002</v>
      </c>
    </row>
    <row r="501" spans="1:12" ht="14.25" hidden="1" x14ac:dyDescent="0.2">
      <c r="A501" s="59"/>
      <c r="B501" s="64"/>
      <c r="C501" s="117" t="s">
        <v>572</v>
      </c>
      <c r="D501" s="117"/>
      <c r="E501" s="117"/>
      <c r="F501" s="117"/>
      <c r="G501" s="117"/>
      <c r="H501" s="117"/>
      <c r="I501" s="46"/>
      <c r="J501" s="59"/>
      <c r="K501" s="44"/>
      <c r="L501" s="46">
        <f>L503+L504</f>
        <v>0</v>
      </c>
    </row>
    <row r="502" spans="1:12" ht="14.25" hidden="1" x14ac:dyDescent="0.2">
      <c r="A502" s="59"/>
      <c r="B502" s="64"/>
      <c r="C502" s="116" t="s">
        <v>521</v>
      </c>
      <c r="D502" s="117"/>
      <c r="E502" s="117"/>
      <c r="F502" s="117"/>
      <c r="G502" s="117"/>
      <c r="H502" s="117"/>
      <c r="I502" s="46"/>
      <c r="J502" s="59"/>
      <c r="K502" s="44"/>
      <c r="L502" s="46"/>
    </row>
    <row r="503" spans="1:12" ht="14.25" hidden="1" x14ac:dyDescent="0.2">
      <c r="A503" s="59"/>
      <c r="B503" s="64"/>
      <c r="C503" s="117" t="s">
        <v>535</v>
      </c>
      <c r="D503" s="117"/>
      <c r="E503" s="117"/>
      <c r="F503" s="117"/>
      <c r="G503" s="117"/>
      <c r="H503" s="117"/>
      <c r="I503" s="46"/>
      <c r="J503" s="59"/>
      <c r="K503" s="44"/>
      <c r="L503" s="46">
        <f>SUM(BK53:BK480)</f>
        <v>0</v>
      </c>
    </row>
    <row r="504" spans="1:12" ht="14.25" hidden="1" x14ac:dyDescent="0.2">
      <c r="A504" s="59"/>
      <c r="B504" s="64"/>
      <c r="C504" s="117" t="s">
        <v>536</v>
      </c>
      <c r="D504" s="117"/>
      <c r="E504" s="117"/>
      <c r="F504" s="117"/>
      <c r="G504" s="117"/>
      <c r="H504" s="117"/>
      <c r="I504" s="46"/>
      <c r="J504" s="59"/>
      <c r="K504" s="44"/>
      <c r="L504" s="46">
        <f>SUM(BD53:BD480)</f>
        <v>0</v>
      </c>
    </row>
    <row r="505" spans="1:12" ht="14.25" x14ac:dyDescent="0.2">
      <c r="A505" s="59"/>
      <c r="B505" s="64"/>
      <c r="C505" s="117" t="s">
        <v>573</v>
      </c>
      <c r="D505" s="117"/>
      <c r="E505" s="117"/>
      <c r="F505" s="117"/>
      <c r="G505" s="117"/>
      <c r="H505" s="117"/>
      <c r="I505" s="46"/>
      <c r="J505" s="59"/>
      <c r="K505" s="44"/>
      <c r="L505" s="46">
        <f>L458</f>
        <v>5536.7999999999993</v>
      </c>
    </row>
    <row r="506" spans="1:12" ht="14.25" x14ac:dyDescent="0.2">
      <c r="A506" s="59"/>
      <c r="B506" s="64"/>
      <c r="C506" s="115" t="s">
        <v>540</v>
      </c>
      <c r="D506" s="117"/>
      <c r="E506" s="117"/>
      <c r="F506" s="117"/>
      <c r="G506" s="117"/>
      <c r="H506" s="117"/>
      <c r="I506" s="46"/>
      <c r="J506" s="59"/>
      <c r="K506" s="44"/>
      <c r="L506" s="46"/>
    </row>
    <row r="507" spans="1:12" ht="14.25" hidden="1" x14ac:dyDescent="0.2">
      <c r="A507" s="59"/>
      <c r="B507" s="64"/>
      <c r="C507" s="117" t="s">
        <v>541</v>
      </c>
      <c r="D507" s="117"/>
      <c r="E507" s="117"/>
      <c r="F507" s="117"/>
      <c r="G507" s="117"/>
      <c r="H507" s="117"/>
      <c r="I507" s="46"/>
      <c r="J507" s="59"/>
      <c r="K507" s="44"/>
      <c r="L507" s="46">
        <f>SUM(AX53:AX480)</f>
        <v>0</v>
      </c>
    </row>
    <row r="508" spans="1:12" ht="14.25" hidden="1" x14ac:dyDescent="0.2">
      <c r="A508" s="59"/>
      <c r="B508" s="64"/>
      <c r="C508" s="117" t="s">
        <v>542</v>
      </c>
      <c r="D508" s="117"/>
      <c r="E508" s="117"/>
      <c r="F508" s="117"/>
      <c r="G508" s="117"/>
      <c r="H508" s="117"/>
      <c r="I508" s="46"/>
      <c r="J508" s="59"/>
      <c r="K508" s="44"/>
      <c r="L508" s="46">
        <f>SUM(AY53:AY480)</f>
        <v>0</v>
      </c>
    </row>
    <row r="509" spans="1:12" ht="14.25" x14ac:dyDescent="0.2">
      <c r="A509" s="59"/>
      <c r="B509" s="64"/>
      <c r="C509" s="117" t="s">
        <v>543</v>
      </c>
      <c r="D509" s="117"/>
      <c r="E509" s="117"/>
      <c r="F509" s="119"/>
      <c r="G509" s="49">
        <f>Source!F248</f>
        <v>159.10936000000001</v>
      </c>
      <c r="H509" s="59"/>
      <c r="I509" s="59"/>
      <c r="J509" s="59"/>
      <c r="K509" s="59"/>
      <c r="L509" s="59"/>
    </row>
    <row r="510" spans="1:12" ht="14.25" x14ac:dyDescent="0.2">
      <c r="A510" s="59"/>
      <c r="B510" s="64"/>
      <c r="C510" s="117" t="s">
        <v>544</v>
      </c>
      <c r="D510" s="117"/>
      <c r="E510" s="117"/>
      <c r="F510" s="119"/>
      <c r="G510" s="49">
        <f>Source!F249</f>
        <v>39.298569999999998</v>
      </c>
      <c r="H510" s="59"/>
      <c r="I510" s="59"/>
      <c r="J510" s="59"/>
      <c r="K510" s="59"/>
      <c r="L510" s="59"/>
    </row>
    <row r="512" spans="1:12" ht="15.75" x14ac:dyDescent="0.25">
      <c r="C512" s="123" t="str">
        <f>Source!H255</f>
        <v>Итого</v>
      </c>
      <c r="D512" s="123"/>
      <c r="E512" s="123"/>
      <c r="F512" s="123"/>
      <c r="G512" s="123"/>
      <c r="H512" s="123"/>
      <c r="I512" s="123"/>
      <c r="J512" s="123"/>
      <c r="K512" s="123"/>
      <c r="L512" s="86">
        <f>L403+L352+L303+L253+L137</f>
        <v>386033.48000000004</v>
      </c>
    </row>
    <row r="513" spans="1:12" ht="15.75" x14ac:dyDescent="0.25">
      <c r="C513" s="124" t="s">
        <v>577</v>
      </c>
      <c r="D513" s="124"/>
      <c r="E513" s="124"/>
      <c r="F513" s="124"/>
      <c r="G513" s="79"/>
      <c r="H513" s="79"/>
      <c r="I513" s="79"/>
      <c r="J513" s="80"/>
      <c r="K513" s="80"/>
      <c r="L513" s="81">
        <v>92572.92</v>
      </c>
    </row>
    <row r="514" spans="1:12" ht="15.75" x14ac:dyDescent="0.25">
      <c r="C514" s="124" t="s">
        <v>578</v>
      </c>
      <c r="D514" s="124"/>
      <c r="E514" s="124"/>
      <c r="F514" s="124"/>
      <c r="G514" s="79"/>
      <c r="H514" s="79"/>
      <c r="I514" s="79"/>
      <c r="J514" s="80"/>
      <c r="K514" s="80"/>
      <c r="L514" s="81">
        <v>35551.49</v>
      </c>
    </row>
    <row r="515" spans="1:12" ht="15.75" x14ac:dyDescent="0.25">
      <c r="C515" s="82" t="s">
        <v>232</v>
      </c>
      <c r="D515" s="79"/>
      <c r="E515" s="79"/>
      <c r="F515" s="83"/>
      <c r="G515" s="79"/>
      <c r="H515" s="79"/>
      <c r="I515" s="79"/>
      <c r="J515" s="80"/>
      <c r="K515" s="80"/>
      <c r="L515" s="81">
        <f>L514+L513+L512</f>
        <v>514157.89</v>
      </c>
    </row>
    <row r="516" spans="1:12" ht="15.75" x14ac:dyDescent="0.25">
      <c r="C516" s="82" t="s">
        <v>579</v>
      </c>
      <c r="D516" s="84">
        <v>0.2</v>
      </c>
      <c r="E516" s="79"/>
      <c r="F516" s="83"/>
      <c r="G516" s="79"/>
      <c r="H516" s="79"/>
      <c r="I516" s="79"/>
      <c r="J516" s="80"/>
      <c r="K516" s="80"/>
      <c r="L516" s="81">
        <f>0.2*L515</f>
        <v>102831.57800000001</v>
      </c>
    </row>
    <row r="517" spans="1:12" ht="15.75" x14ac:dyDescent="0.25">
      <c r="C517" s="123" t="s">
        <v>236</v>
      </c>
      <c r="D517" s="123"/>
      <c r="E517" s="123"/>
      <c r="F517" s="123"/>
      <c r="G517" s="123"/>
      <c r="H517" s="123"/>
      <c r="I517" s="123"/>
      <c r="J517" s="59"/>
      <c r="K517" s="59"/>
      <c r="L517" s="85">
        <f>L516+L515</f>
        <v>616989.46799999999</v>
      </c>
    </row>
    <row r="518" spans="1:12" ht="14.25" x14ac:dyDescent="0.2">
      <c r="C518" s="74"/>
      <c r="D518" s="74"/>
      <c r="E518" s="74"/>
      <c r="F518" s="74"/>
      <c r="G518" s="74"/>
      <c r="H518" s="74"/>
      <c r="I518" s="74"/>
      <c r="J518" s="74"/>
      <c r="K518" s="74"/>
      <c r="L518" s="57"/>
    </row>
    <row r="521" spans="1:12" ht="14.25" customHeight="1" x14ac:dyDescent="0.2">
      <c r="A521" s="121" t="s">
        <v>574</v>
      </c>
      <c r="B521" s="121"/>
      <c r="C521" s="78" t="str">
        <f>IF(Source!AC12&lt;&gt;"", Source!AC12," ")</f>
        <v xml:space="preserve"> </v>
      </c>
      <c r="D521" s="34"/>
      <c r="E521" s="34"/>
      <c r="F521" s="34"/>
      <c r="G521" s="34"/>
      <c r="H521" s="15" t="str">
        <f>IF(Source!AB12&lt;&gt;"", Source!AB12," ")</f>
        <v>Мишкина З.И.</v>
      </c>
      <c r="I521" s="24"/>
      <c r="J521" s="24"/>
      <c r="K521" s="38"/>
      <c r="L521" s="38"/>
    </row>
    <row r="522" spans="1:12" ht="14.25" customHeight="1" x14ac:dyDescent="0.2">
      <c r="A522" s="19"/>
      <c r="B522" s="19"/>
      <c r="C522" s="122" t="s">
        <v>575</v>
      </c>
      <c r="D522" s="122"/>
      <c r="E522" s="122"/>
      <c r="F522" s="122"/>
      <c r="G522" s="122"/>
      <c r="H522" s="24"/>
      <c r="I522" s="24"/>
      <c r="J522" s="24"/>
      <c r="K522" s="38"/>
      <c r="L522" s="38"/>
    </row>
    <row r="523" spans="1:12" ht="14.25" customHeight="1" x14ac:dyDescent="0.2">
      <c r="A523" s="19"/>
      <c r="B523" s="19"/>
      <c r="C523" s="19"/>
      <c r="D523" s="19"/>
      <c r="E523" s="19"/>
      <c r="F523" s="19"/>
      <c r="G523" s="19"/>
      <c r="H523" s="24"/>
      <c r="I523" s="24"/>
      <c r="J523" s="24"/>
      <c r="K523" s="38"/>
      <c r="L523" s="38"/>
    </row>
    <row r="524" spans="1:12" ht="14.25" customHeight="1" x14ac:dyDescent="0.2">
      <c r="A524" s="121" t="s">
        <v>576</v>
      </c>
      <c r="B524" s="121"/>
      <c r="C524" s="78" t="str">
        <f>IF(Source!AE12&lt;&gt;"", Source!AE12," ")</f>
        <v xml:space="preserve"> </v>
      </c>
      <c r="D524" s="34"/>
      <c r="E524" s="34"/>
      <c r="F524" s="34"/>
      <c r="G524" s="34"/>
      <c r="H524" s="15" t="str">
        <f>IF(Source!AD12&lt;&gt;"", Source!AD12," ")</f>
        <v>Сукочев А.А.</v>
      </c>
      <c r="I524" s="24"/>
      <c r="J524" s="24"/>
      <c r="K524" s="38"/>
      <c r="L524" s="38"/>
    </row>
    <row r="525" spans="1:12" ht="14.25" customHeight="1" x14ac:dyDescent="0.2">
      <c r="A525" s="19"/>
      <c r="B525" s="19"/>
      <c r="C525" s="122" t="s">
        <v>575</v>
      </c>
      <c r="D525" s="122"/>
      <c r="E525" s="122"/>
      <c r="F525" s="122"/>
      <c r="G525" s="122"/>
      <c r="H525" s="24"/>
      <c r="I525" s="24"/>
      <c r="J525" s="24"/>
      <c r="K525" s="38"/>
      <c r="L525" s="38"/>
    </row>
  </sheetData>
  <mergeCells count="349">
    <mergeCell ref="A521:B521"/>
    <mergeCell ref="C522:G522"/>
    <mergeCell ref="A524:B524"/>
    <mergeCell ref="C525:G525"/>
    <mergeCell ref="C507:H507"/>
    <mergeCell ref="C508:H508"/>
    <mergeCell ref="C509:F509"/>
    <mergeCell ref="C510:F510"/>
    <mergeCell ref="C512:K512"/>
    <mergeCell ref="C513:F513"/>
    <mergeCell ref="C514:F514"/>
    <mergeCell ref="C517:I517"/>
    <mergeCell ref="C501:H501"/>
    <mergeCell ref="C502:H502"/>
    <mergeCell ref="C503:H503"/>
    <mergeCell ref="C504:H504"/>
    <mergeCell ref="C505:H505"/>
    <mergeCell ref="C506:H506"/>
    <mergeCell ref="C495:H495"/>
    <mergeCell ref="C496:H496"/>
    <mergeCell ref="C497:H497"/>
    <mergeCell ref="C498:H498"/>
    <mergeCell ref="C499:H499"/>
    <mergeCell ref="C500:H500"/>
    <mergeCell ref="C489:H489"/>
    <mergeCell ref="C490:H490"/>
    <mergeCell ref="C491:H491"/>
    <mergeCell ref="C492:H492"/>
    <mergeCell ref="C493:H493"/>
    <mergeCell ref="C494:H494"/>
    <mergeCell ref="C483:H483"/>
    <mergeCell ref="C484:H484"/>
    <mergeCell ref="C485:H485"/>
    <mergeCell ref="C486:H486"/>
    <mergeCell ref="C487:H487"/>
    <mergeCell ref="C488:H488"/>
    <mergeCell ref="C476:H476"/>
    <mergeCell ref="C477:H477"/>
    <mergeCell ref="C478:H478"/>
    <mergeCell ref="C479:H479"/>
    <mergeCell ref="C480:H480"/>
    <mergeCell ref="C482:H482"/>
    <mergeCell ref="C470:H470"/>
    <mergeCell ref="C471:H471"/>
    <mergeCell ref="C472:H472"/>
    <mergeCell ref="C473:H473"/>
    <mergeCell ref="C474:H474"/>
    <mergeCell ref="C475:H475"/>
    <mergeCell ref="C464:H464"/>
    <mergeCell ref="C465:H465"/>
    <mergeCell ref="C466:H466"/>
    <mergeCell ref="C467:H467"/>
    <mergeCell ref="C468:H468"/>
    <mergeCell ref="C469:H469"/>
    <mergeCell ref="C458:H458"/>
    <mergeCell ref="C459:H459"/>
    <mergeCell ref="C460:H460"/>
    <mergeCell ref="C461:H461"/>
    <mergeCell ref="C462:H462"/>
    <mergeCell ref="C463:H463"/>
    <mergeCell ref="C450:H450"/>
    <mergeCell ref="C451:H451"/>
    <mergeCell ref="C453:H453"/>
    <mergeCell ref="C454:H454"/>
    <mergeCell ref="C455:H455"/>
    <mergeCell ref="C456:H456"/>
    <mergeCell ref="C444:H444"/>
    <mergeCell ref="C445:H445"/>
    <mergeCell ref="C446:H446"/>
    <mergeCell ref="C447:H447"/>
    <mergeCell ref="C448:H448"/>
    <mergeCell ref="C449:H449"/>
    <mergeCell ref="C438:H438"/>
    <mergeCell ref="C439:H439"/>
    <mergeCell ref="C440:H440"/>
    <mergeCell ref="C441:H441"/>
    <mergeCell ref="C442:H442"/>
    <mergeCell ref="C443:H443"/>
    <mergeCell ref="C431:H431"/>
    <mergeCell ref="C433:H433"/>
    <mergeCell ref="C434:H434"/>
    <mergeCell ref="C435:H435"/>
    <mergeCell ref="C436:H436"/>
    <mergeCell ref="C437:H437"/>
    <mergeCell ref="C425:H425"/>
    <mergeCell ref="C426:H426"/>
    <mergeCell ref="C427:H427"/>
    <mergeCell ref="C428:H428"/>
    <mergeCell ref="C429:H429"/>
    <mergeCell ref="C430:H430"/>
    <mergeCell ref="C419:H419"/>
    <mergeCell ref="C420:H420"/>
    <mergeCell ref="C421:H421"/>
    <mergeCell ref="C422:H422"/>
    <mergeCell ref="C423:H423"/>
    <mergeCell ref="C424:H424"/>
    <mergeCell ref="C413:H413"/>
    <mergeCell ref="C414:H414"/>
    <mergeCell ref="C415:H415"/>
    <mergeCell ref="C416:H416"/>
    <mergeCell ref="C417:H417"/>
    <mergeCell ref="C418:H418"/>
    <mergeCell ref="C404:H404"/>
    <mergeCell ref="C405:H405"/>
    <mergeCell ref="C406:H406"/>
    <mergeCell ref="C407:F407"/>
    <mergeCell ref="C408:F408"/>
    <mergeCell ref="C411:H411"/>
    <mergeCell ref="C398:H398"/>
    <mergeCell ref="C399:H399"/>
    <mergeCell ref="C400:H400"/>
    <mergeCell ref="C401:H401"/>
    <mergeCell ref="C402:H402"/>
    <mergeCell ref="C403:H403"/>
    <mergeCell ref="C392:H392"/>
    <mergeCell ref="C393:H393"/>
    <mergeCell ref="C394:H394"/>
    <mergeCell ref="C395:H395"/>
    <mergeCell ref="C396:H396"/>
    <mergeCell ref="C397:H397"/>
    <mergeCell ref="C386:H386"/>
    <mergeCell ref="C387:H387"/>
    <mergeCell ref="C388:H388"/>
    <mergeCell ref="C389:H389"/>
    <mergeCell ref="C390:H390"/>
    <mergeCell ref="C391:H391"/>
    <mergeCell ref="C380:H380"/>
    <mergeCell ref="C381:H381"/>
    <mergeCell ref="C382:H382"/>
    <mergeCell ref="C383:H383"/>
    <mergeCell ref="C384:H384"/>
    <mergeCell ref="C385:H385"/>
    <mergeCell ref="C369:H369"/>
    <mergeCell ref="I369:J369"/>
    <mergeCell ref="K369:L369"/>
    <mergeCell ref="C378:H378"/>
    <mergeCell ref="I378:J378"/>
    <mergeCell ref="K378:L378"/>
    <mergeCell ref="C353:H353"/>
    <mergeCell ref="C354:H354"/>
    <mergeCell ref="C355:H355"/>
    <mergeCell ref="C356:F356"/>
    <mergeCell ref="C357:F357"/>
    <mergeCell ref="A360:L360"/>
    <mergeCell ref="C347:H347"/>
    <mergeCell ref="C348:H348"/>
    <mergeCell ref="C349:H349"/>
    <mergeCell ref="C350:H350"/>
    <mergeCell ref="C351:H351"/>
    <mergeCell ref="C352:H352"/>
    <mergeCell ref="C341:H341"/>
    <mergeCell ref="C342:H342"/>
    <mergeCell ref="C343:H343"/>
    <mergeCell ref="C344:H344"/>
    <mergeCell ref="C345:H345"/>
    <mergeCell ref="C346:H346"/>
    <mergeCell ref="C335:H335"/>
    <mergeCell ref="C336:H336"/>
    <mergeCell ref="C337:H337"/>
    <mergeCell ref="C338:H338"/>
    <mergeCell ref="C339:H339"/>
    <mergeCell ref="C340:H340"/>
    <mergeCell ref="C329:H329"/>
    <mergeCell ref="C330:H330"/>
    <mergeCell ref="C331:H331"/>
    <mergeCell ref="C332:H332"/>
    <mergeCell ref="C333:H333"/>
    <mergeCell ref="C334:H334"/>
    <mergeCell ref="C325:H325"/>
    <mergeCell ref="I325:J325"/>
    <mergeCell ref="K325:L325"/>
    <mergeCell ref="C327:H327"/>
    <mergeCell ref="I327:J327"/>
    <mergeCell ref="K327:L327"/>
    <mergeCell ref="C321:H321"/>
    <mergeCell ref="I321:J321"/>
    <mergeCell ref="K321:L321"/>
    <mergeCell ref="C323:H323"/>
    <mergeCell ref="I323:J323"/>
    <mergeCell ref="K323:L323"/>
    <mergeCell ref="C307:F307"/>
    <mergeCell ref="C308:F308"/>
    <mergeCell ref="A311:L311"/>
    <mergeCell ref="C319:H319"/>
    <mergeCell ref="I319:J319"/>
    <mergeCell ref="K319:L319"/>
    <mergeCell ref="C301:H301"/>
    <mergeCell ref="C302:H302"/>
    <mergeCell ref="C303:H303"/>
    <mergeCell ref="C304:H304"/>
    <mergeCell ref="C305:H305"/>
    <mergeCell ref="C306:H306"/>
    <mergeCell ref="C295:H295"/>
    <mergeCell ref="C296:H296"/>
    <mergeCell ref="C297:H297"/>
    <mergeCell ref="C298:H298"/>
    <mergeCell ref="C299:H299"/>
    <mergeCell ref="C300:H300"/>
    <mergeCell ref="C289:H289"/>
    <mergeCell ref="C290:H290"/>
    <mergeCell ref="C291:H291"/>
    <mergeCell ref="C292:H292"/>
    <mergeCell ref="C293:H293"/>
    <mergeCell ref="C294:H294"/>
    <mergeCell ref="C283:H283"/>
    <mergeCell ref="C284:H284"/>
    <mergeCell ref="C285:H285"/>
    <mergeCell ref="C286:H286"/>
    <mergeCell ref="C287:H287"/>
    <mergeCell ref="C288:H288"/>
    <mergeCell ref="C278:H278"/>
    <mergeCell ref="I278:J278"/>
    <mergeCell ref="K278:L278"/>
    <mergeCell ref="C280:H280"/>
    <mergeCell ref="C281:H281"/>
    <mergeCell ref="C282:H282"/>
    <mergeCell ref="C273:H273"/>
    <mergeCell ref="I273:J273"/>
    <mergeCell ref="K273:L273"/>
    <mergeCell ref="C276:H276"/>
    <mergeCell ref="I276:J276"/>
    <mergeCell ref="K276:L276"/>
    <mergeCell ref="C267:H267"/>
    <mergeCell ref="I267:J267"/>
    <mergeCell ref="K267:L267"/>
    <mergeCell ref="C270:H270"/>
    <mergeCell ref="I270:J270"/>
    <mergeCell ref="K270:L270"/>
    <mergeCell ref="C257:F257"/>
    <mergeCell ref="C258:F258"/>
    <mergeCell ref="A261:L261"/>
    <mergeCell ref="C264:H264"/>
    <mergeCell ref="I264:J264"/>
    <mergeCell ref="K264:L264"/>
    <mergeCell ref="C251:H251"/>
    <mergeCell ref="C252:H252"/>
    <mergeCell ref="C253:H253"/>
    <mergeCell ref="C254:H254"/>
    <mergeCell ref="C255:H255"/>
    <mergeCell ref="C256:H256"/>
    <mergeCell ref="C245:H245"/>
    <mergeCell ref="C246:H246"/>
    <mergeCell ref="C247:H247"/>
    <mergeCell ref="C248:H248"/>
    <mergeCell ref="C249:H249"/>
    <mergeCell ref="C250:H250"/>
    <mergeCell ref="C239:H239"/>
    <mergeCell ref="C240:H240"/>
    <mergeCell ref="C241:H241"/>
    <mergeCell ref="C242:H242"/>
    <mergeCell ref="C243:H243"/>
    <mergeCell ref="C244:H244"/>
    <mergeCell ref="C233:H233"/>
    <mergeCell ref="C234:H234"/>
    <mergeCell ref="C235:H235"/>
    <mergeCell ref="C236:H236"/>
    <mergeCell ref="C237:H237"/>
    <mergeCell ref="C238:H238"/>
    <mergeCell ref="C228:H228"/>
    <mergeCell ref="I228:J228"/>
    <mergeCell ref="K228:L228"/>
    <mergeCell ref="C230:H230"/>
    <mergeCell ref="C231:H231"/>
    <mergeCell ref="C232:H232"/>
    <mergeCell ref="C189:H189"/>
    <mergeCell ref="I189:J189"/>
    <mergeCell ref="K189:L189"/>
    <mergeCell ref="C206:H206"/>
    <mergeCell ref="I206:J206"/>
    <mergeCell ref="K206:L206"/>
    <mergeCell ref="C141:F141"/>
    <mergeCell ref="C142:F142"/>
    <mergeCell ref="A145:L145"/>
    <mergeCell ref="C169:H169"/>
    <mergeCell ref="I169:J169"/>
    <mergeCell ref="K169:L169"/>
    <mergeCell ref="C135:H135"/>
    <mergeCell ref="C136:H136"/>
    <mergeCell ref="C137:H137"/>
    <mergeCell ref="C138:H138"/>
    <mergeCell ref="C139:H139"/>
    <mergeCell ref="C140:H140"/>
    <mergeCell ref="C129:H129"/>
    <mergeCell ref="C130:H130"/>
    <mergeCell ref="C131:H131"/>
    <mergeCell ref="C132:H132"/>
    <mergeCell ref="C133:H133"/>
    <mergeCell ref="C134:H134"/>
    <mergeCell ref="C123:H123"/>
    <mergeCell ref="C124:H124"/>
    <mergeCell ref="C125:H125"/>
    <mergeCell ref="C126:H126"/>
    <mergeCell ref="C127:H127"/>
    <mergeCell ref="C128:H128"/>
    <mergeCell ref="C117:H117"/>
    <mergeCell ref="C118:H118"/>
    <mergeCell ref="C119:H119"/>
    <mergeCell ref="C120:H120"/>
    <mergeCell ref="C121:H121"/>
    <mergeCell ref="C122:H122"/>
    <mergeCell ref="C112:H112"/>
    <mergeCell ref="I112:J112"/>
    <mergeCell ref="K112:L112"/>
    <mergeCell ref="C114:H114"/>
    <mergeCell ref="C115:H115"/>
    <mergeCell ref="C116:H116"/>
    <mergeCell ref="A54:L54"/>
    <mergeCell ref="C79:H79"/>
    <mergeCell ref="I79:J79"/>
    <mergeCell ref="K79:L79"/>
    <mergeCell ref="C100:H100"/>
    <mergeCell ref="I100:J100"/>
    <mergeCell ref="K100:L100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</mergeCells>
  <pageMargins left="0.39370078740157483" right="0.19685039370078741" top="0.39370078740157483" bottom="0.39370078740157483" header="0.19685039370078741" footer="0.19685039370078741"/>
  <pageSetup paperSize="9" scale="48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23"/>
  <sheetViews>
    <sheetView workbookViewId="0">
      <selection activeCell="A319" sqref="A319:AX31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317</v>
      </c>
      <c r="C12" s="1">
        <v>0</v>
      </c>
      <c r="D12" s="1">
        <f>ROW(A259)</f>
        <v>259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10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45425</v>
      </c>
      <c r="CT12" s="1">
        <v>323</v>
      </c>
      <c r="CU12" s="1">
        <v>10</v>
      </c>
      <c r="CV12" s="1" t="s">
        <v>458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B259</f>
        <v>317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ВЛ-0,4кВ июнь 24</v>
      </c>
      <c r="H18" s="2"/>
      <c r="I18" s="2"/>
      <c r="J18" s="2"/>
      <c r="K18" s="2"/>
      <c r="L18" s="2"/>
      <c r="M18" s="2"/>
      <c r="N18" s="2"/>
      <c r="O18" s="2">
        <f t="shared" ref="O18:AT18" si="1">O259</f>
        <v>237611.74</v>
      </c>
      <c r="P18" s="2">
        <f t="shared" si="1"/>
        <v>79691.899999999994</v>
      </c>
      <c r="Q18" s="2">
        <f t="shared" si="1"/>
        <v>68650.09</v>
      </c>
      <c r="R18" s="2">
        <f t="shared" si="1"/>
        <v>21590.560000000001</v>
      </c>
      <c r="S18" s="2">
        <f t="shared" si="1"/>
        <v>67679.19</v>
      </c>
      <c r="T18" s="2">
        <f t="shared" si="1"/>
        <v>0</v>
      </c>
      <c r="U18" s="2">
        <f t="shared" si="1"/>
        <v>159.10935999999998</v>
      </c>
      <c r="V18" s="2">
        <f t="shared" si="1"/>
        <v>39.298569999999998</v>
      </c>
      <c r="W18" s="2">
        <f t="shared" si="1"/>
        <v>0</v>
      </c>
      <c r="X18" s="2">
        <f t="shared" si="1"/>
        <v>88436.68</v>
      </c>
      <c r="Y18" s="2">
        <f t="shared" si="1"/>
        <v>48053.760000000002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386033.48</v>
      </c>
      <c r="AS18" s="2">
        <f t="shared" si="1"/>
        <v>138879.01999999999</v>
      </c>
      <c r="AT18" s="2">
        <f t="shared" si="1"/>
        <v>241617.66</v>
      </c>
      <c r="AU18" s="2">
        <f t="shared" ref="AU18:BZ18" si="2">AU259</f>
        <v>5536.8</v>
      </c>
      <c r="AV18" s="2">
        <f t="shared" si="2"/>
        <v>79691.899999999994</v>
      </c>
      <c r="AW18" s="2">
        <f t="shared" si="2"/>
        <v>79691.899999999994</v>
      </c>
      <c r="AX18" s="2">
        <f t="shared" si="2"/>
        <v>0</v>
      </c>
      <c r="AY18" s="2">
        <f t="shared" si="2"/>
        <v>79691.899999999994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11931.3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CA259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DG259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EM259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FS259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ROW(A226)</f>
        <v>226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B226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  <c r="H22" s="2"/>
      <c r="I22" s="2"/>
      <c r="J22" s="2"/>
      <c r="K22" s="2"/>
      <c r="L22" s="2"/>
      <c r="M22" s="2"/>
      <c r="N22" s="2"/>
      <c r="O22" s="2">
        <f t="shared" ref="O22:AT22" si="8">O226</f>
        <v>237611.74</v>
      </c>
      <c r="P22" s="2">
        <f t="shared" si="8"/>
        <v>79691.899999999994</v>
      </c>
      <c r="Q22" s="2">
        <f t="shared" si="8"/>
        <v>68650.09</v>
      </c>
      <c r="R22" s="2">
        <f t="shared" si="8"/>
        <v>21590.560000000001</v>
      </c>
      <c r="S22" s="2">
        <f t="shared" si="8"/>
        <v>67679.19</v>
      </c>
      <c r="T22" s="2">
        <f t="shared" si="8"/>
        <v>0</v>
      </c>
      <c r="U22" s="2">
        <f t="shared" si="8"/>
        <v>159.10935999999998</v>
      </c>
      <c r="V22" s="2">
        <f t="shared" si="8"/>
        <v>39.298569999999998</v>
      </c>
      <c r="W22" s="2">
        <f t="shared" si="8"/>
        <v>0</v>
      </c>
      <c r="X22" s="2">
        <f t="shared" si="8"/>
        <v>88436.68</v>
      </c>
      <c r="Y22" s="2">
        <f t="shared" si="8"/>
        <v>48053.760000000002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386033.48</v>
      </c>
      <c r="AS22" s="2">
        <f t="shared" si="8"/>
        <v>138879.01999999999</v>
      </c>
      <c r="AT22" s="2">
        <f t="shared" si="8"/>
        <v>241617.66</v>
      </c>
      <c r="AU22" s="2">
        <f t="shared" ref="AU22:BZ22" si="9">AU226</f>
        <v>5536.8</v>
      </c>
      <c r="AV22" s="2">
        <f t="shared" si="9"/>
        <v>79691.899999999994</v>
      </c>
      <c r="AW22" s="2">
        <f t="shared" si="9"/>
        <v>79691.899999999994</v>
      </c>
      <c r="AX22" s="2">
        <f t="shared" si="9"/>
        <v>0</v>
      </c>
      <c r="AY22" s="2">
        <f t="shared" si="9"/>
        <v>79691.899999999994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11931.3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CA226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DG226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EM226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FS226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ROW(A32)</f>
        <v>32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B32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O32</f>
        <v>7775.25</v>
      </c>
      <c r="P26" s="2">
        <f t="shared" si="15"/>
        <v>0</v>
      </c>
      <c r="Q26" s="2">
        <f t="shared" si="15"/>
        <v>981.54</v>
      </c>
      <c r="R26" s="2">
        <f t="shared" si="15"/>
        <v>865.54</v>
      </c>
      <c r="S26" s="2">
        <f t="shared" si="15"/>
        <v>5928.17</v>
      </c>
      <c r="T26" s="2">
        <f t="shared" si="15"/>
        <v>0</v>
      </c>
      <c r="U26" s="2">
        <f t="shared" si="15"/>
        <v>14.974160000000001</v>
      </c>
      <c r="V26" s="2">
        <f t="shared" si="15"/>
        <v>1.97167</v>
      </c>
      <c r="W26" s="2">
        <f t="shared" si="15"/>
        <v>0</v>
      </c>
      <c r="X26" s="2">
        <f t="shared" si="15"/>
        <v>6978.04</v>
      </c>
      <c r="Y26" s="2">
        <f t="shared" si="15"/>
        <v>4047.01</v>
      </c>
      <c r="Z26" s="2">
        <f t="shared" si="15"/>
        <v>0</v>
      </c>
      <c r="AA26" s="2">
        <f t="shared" si="15"/>
        <v>0</v>
      </c>
      <c r="AB26" s="2">
        <f t="shared" si="15"/>
        <v>7775.25</v>
      </c>
      <c r="AC26" s="2">
        <f t="shared" si="15"/>
        <v>0</v>
      </c>
      <c r="AD26" s="2">
        <f t="shared" si="15"/>
        <v>981.54</v>
      </c>
      <c r="AE26" s="2">
        <f t="shared" si="15"/>
        <v>865.54</v>
      </c>
      <c r="AF26" s="2">
        <f t="shared" si="15"/>
        <v>5928.17</v>
      </c>
      <c r="AG26" s="2">
        <f t="shared" si="15"/>
        <v>0</v>
      </c>
      <c r="AH26" s="2">
        <f t="shared" si="15"/>
        <v>14.974160000000001</v>
      </c>
      <c r="AI26" s="2">
        <f t="shared" si="15"/>
        <v>1.97167</v>
      </c>
      <c r="AJ26" s="2">
        <f t="shared" si="15"/>
        <v>0</v>
      </c>
      <c r="AK26" s="2">
        <f t="shared" si="15"/>
        <v>6978.04</v>
      </c>
      <c r="AL26" s="2">
        <f t="shared" si="15"/>
        <v>4047.01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18800.3</v>
      </c>
      <c r="AS26" s="2">
        <f t="shared" si="15"/>
        <v>17991.5</v>
      </c>
      <c r="AT26" s="2">
        <f t="shared" si="15"/>
        <v>808.8</v>
      </c>
      <c r="AU26" s="2">
        <f t="shared" ref="AU26:BZ26" si="16">AU32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CA32</f>
        <v>18800.3</v>
      </c>
      <c r="CB26" s="2">
        <f t="shared" si="17"/>
        <v>17991.5</v>
      </c>
      <c r="CC26" s="2">
        <f t="shared" si="17"/>
        <v>808.8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DG32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EM32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FS32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ROW(SmtRes!A13)</f>
        <v>13</v>
      </c>
      <c r="D28">
        <f>ROW(EtalonRes!A13)</f>
        <v>13</v>
      </c>
      <c r="E28" t="s">
        <v>20</v>
      </c>
      <c r="F28" t="s">
        <v>21</v>
      </c>
      <c r="G28" t="s">
        <v>22</v>
      </c>
      <c r="H28" t="s">
        <v>23</v>
      </c>
      <c r="I28">
        <f>ROUND(210/1000,7)</f>
        <v>0.21</v>
      </c>
      <c r="J28">
        <v>0</v>
      </c>
      <c r="K28">
        <f>ROUND(210/1000,7)</f>
        <v>0.21</v>
      </c>
      <c r="O28">
        <f>ROUND(CP28,2)</f>
        <v>3993.95</v>
      </c>
      <c r="P28">
        <f>SUMIF(SmtRes!AQ1:'SmtRes'!AQ13,"=1",SmtRes!DF1:'SmtRes'!DF13)</f>
        <v>0</v>
      </c>
      <c r="Q28">
        <f>SUMIF(SmtRes!AQ1:'SmtRes'!AQ13,"=1",SmtRes!DG1:'SmtRes'!DG13)</f>
        <v>750.33</v>
      </c>
      <c r="R28">
        <f>SUMIF(SmtRes!AQ1:'SmtRes'!AQ13,"=1",SmtRes!DH1:'SmtRes'!DH13)</f>
        <v>689.6</v>
      </c>
      <c r="S28">
        <f>SUMIF(SmtRes!AQ1:'SmtRes'!AQ13,"=1",SmtRes!DI1:'SmtRes'!DI13)</f>
        <v>2554.02</v>
      </c>
      <c r="T28">
        <f>ROUND(CU28*I28,2)</f>
        <v>0</v>
      </c>
      <c r="U28">
        <f>SUMIF(SmtRes!AQ1:'SmtRes'!AQ13,"=1",SmtRes!CV1:'SmtRes'!CV13)</f>
        <v>5.9925600000000001</v>
      </c>
      <c r="V28">
        <f>SUMIF(SmtRes!AQ1:'SmtRes'!AQ13,"=1",SmtRes!CW1:'SmtRes'!CW13)</f>
        <v>1.5680699999999999</v>
      </c>
      <c r="W28">
        <f>ROUND(CX28*I28,2)</f>
        <v>0</v>
      </c>
      <c r="X28">
        <f t="shared" ref="X28:Y30" si="21">ROUND(CY28,2)</f>
        <v>3340.93</v>
      </c>
      <c r="Y28">
        <f t="shared" si="21"/>
        <v>1946.17</v>
      </c>
      <c r="AA28">
        <v>61635504</v>
      </c>
      <c r="AB28">
        <f>ROUND((AC28+AD28+AF28),6)</f>
        <v>14985.651030000001</v>
      </c>
      <c r="AC28">
        <f>ROUND((0),6)</f>
        <v>0</v>
      </c>
      <c r="AD28">
        <f>ROUND((((SUM(SmtRes!BR1:'SmtRes'!BR13))-(SUM(SmtRes!BS1:'SmtRes'!BS13)))+AE28),6)</f>
        <v>2823.6170999999999</v>
      </c>
      <c r="AE28">
        <f>ROUND((SUM(SmtRes!BS1:'SmtRes'!BS13)),6)</f>
        <v>3283.7805899999998</v>
      </c>
      <c r="AF28">
        <f>ROUND((SUM(SmtRes!BT1:'SmtRes'!BT13)),6)</f>
        <v>12162.03393</v>
      </c>
      <c r="AG28">
        <f>ROUND((AP28),6)</f>
        <v>0</v>
      </c>
      <c r="AH28">
        <f>(SUM(SmtRes!BU1:'SmtRes'!BU13))</f>
        <v>28.536000000000001</v>
      </c>
      <c r="AI28">
        <f>(SUM(SmtRes!BV1:'SmtRes'!BV13))</f>
        <v>7.4669999999999987</v>
      </c>
      <c r="AJ28">
        <f>(AS28)</f>
        <v>0</v>
      </c>
      <c r="AK28">
        <v>60898.1054</v>
      </c>
      <c r="AL28">
        <v>0</v>
      </c>
      <c r="AM28">
        <v>9412.0569999999989</v>
      </c>
      <c r="AN28">
        <v>10945.935299999999</v>
      </c>
      <c r="AO28">
        <v>40540.113100000002</v>
      </c>
      <c r="AP28">
        <v>0</v>
      </c>
      <c r="AQ28">
        <v>95.12</v>
      </c>
      <c r="AR28">
        <v>24.889999999999997</v>
      </c>
      <c r="AS28">
        <v>0</v>
      </c>
      <c r="AT28">
        <v>103</v>
      </c>
      <c r="AU28">
        <v>60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33001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103</v>
      </c>
      <c r="CA28">
        <v>60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25</v>
      </c>
      <c r="CO28">
        <v>0</v>
      </c>
      <c r="CP28">
        <f>(P28+Q28+S28+R28)</f>
        <v>3993.95</v>
      </c>
      <c r="CQ28">
        <f>SUMIF(SmtRes!AQ1:'SmtRes'!AQ13,"=1",SmtRes!AA1:'SmtRes'!AA13)</f>
        <v>0</v>
      </c>
      <c r="CR28">
        <f>SUMIF(SmtRes!AQ1:'SmtRes'!AQ13,"=1",SmtRes!AB1:'SmtRes'!AB13)</f>
        <v>2668.66</v>
      </c>
      <c r="CS28">
        <f>SUMIF(SmtRes!AQ1:'SmtRes'!AQ13,"=1",SmtRes!AC1:'SmtRes'!AC13)</f>
        <v>1890.5</v>
      </c>
      <c r="CT28">
        <f>SUMIF(SmtRes!AQ1:'SmtRes'!AQ13,"=1",SmtRes!AD1:'SmtRes'!AD13)</f>
        <v>1676.1200000000001</v>
      </c>
      <c r="CU28">
        <f>AG28</f>
        <v>0</v>
      </c>
      <c r="CV28">
        <f>SUMIF(SmtRes!AQ1:'SmtRes'!AQ13,"=1",SmtRes!BU1:'SmtRes'!BU13)</f>
        <v>28.536000000000001</v>
      </c>
      <c r="CW28">
        <f>SUMIF(SmtRes!AQ1:'SmtRes'!AQ13,"=1",SmtRes!BV1:'SmtRes'!BV13)</f>
        <v>7.4669999999999987</v>
      </c>
      <c r="CX28">
        <f>AJ28</f>
        <v>0</v>
      </c>
      <c r="CY28">
        <f>(((S28+R28)*AT28)/100)</f>
        <v>3340.9285999999997</v>
      </c>
      <c r="CZ28">
        <f>(((S28+R28)*AU28)/100)</f>
        <v>1946.1719999999998</v>
      </c>
      <c r="DC28" t="s">
        <v>3</v>
      </c>
      <c r="DD28" t="s">
        <v>26</v>
      </c>
      <c r="DE28" t="s">
        <v>27</v>
      </c>
      <c r="DF28" t="s">
        <v>27</v>
      </c>
      <c r="DG28" t="s">
        <v>27</v>
      </c>
      <c r="DH28" t="s">
        <v>3</v>
      </c>
      <c r="DI28" t="s">
        <v>27</v>
      </c>
      <c r="DJ28" t="s">
        <v>27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60393367</v>
      </c>
      <c r="EF28">
        <v>2</v>
      </c>
      <c r="EG28" t="s">
        <v>29</v>
      </c>
      <c r="EH28">
        <v>27</v>
      </c>
      <c r="EI28" t="s">
        <v>30</v>
      </c>
      <c r="EJ28">
        <v>1</v>
      </c>
      <c r="EK28">
        <v>33001</v>
      </c>
      <c r="EL28" t="s">
        <v>30</v>
      </c>
      <c r="EM28" t="s">
        <v>31</v>
      </c>
      <c r="EO28" t="s">
        <v>32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95.12</v>
      </c>
      <c r="EX28">
        <v>24.89</v>
      </c>
      <c r="EY28">
        <v>0</v>
      </c>
      <c r="FQ28">
        <v>0</v>
      </c>
      <c r="FR28">
        <f>ROUND(IF(BI28=3,GM28,0),2)</f>
        <v>0</v>
      </c>
      <c r="FS28">
        <v>0</v>
      </c>
      <c r="FX28">
        <v>103</v>
      </c>
      <c r="FY28">
        <v>60</v>
      </c>
      <c r="GA28" t="s">
        <v>3</v>
      </c>
      <c r="GD28">
        <v>1</v>
      </c>
      <c r="GF28">
        <v>-883292694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9281.0499999999993</v>
      </c>
      <c r="GN28">
        <f>IF(OR(BI28=0,BI28=1),GM28-GX28,0)</f>
        <v>9281.0499999999993</v>
      </c>
      <c r="GO28">
        <f>IF(BI28=2,GM28-GX28,0)</f>
        <v>0</v>
      </c>
      <c r="GP28">
        <f>IF(BI28=4,GM28-GX28,0)</f>
        <v>0</v>
      </c>
      <c r="GR28">
        <v>0</v>
      </c>
      <c r="GS28">
        <v>3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33</v>
      </c>
      <c r="HO28" t="s">
        <v>34</v>
      </c>
      <c r="HP28" t="s">
        <v>30</v>
      </c>
      <c r="HQ28" t="s">
        <v>30</v>
      </c>
      <c r="IK28">
        <v>0</v>
      </c>
    </row>
    <row r="29" spans="1:245" x14ac:dyDescent="0.2">
      <c r="A29">
        <v>17</v>
      </c>
      <c r="B29">
        <v>1</v>
      </c>
      <c r="C29">
        <f>ROW(SmtRes!A22)</f>
        <v>22</v>
      </c>
      <c r="D29">
        <f>ROW(EtalonRes!A22)</f>
        <v>22</v>
      </c>
      <c r="E29" t="s">
        <v>35</v>
      </c>
      <c r="F29" t="s">
        <v>36</v>
      </c>
      <c r="G29" t="s">
        <v>37</v>
      </c>
      <c r="H29" t="s">
        <v>38</v>
      </c>
      <c r="I29">
        <f>ROUND(6/100,7)</f>
        <v>0.06</v>
      </c>
      <c r="J29">
        <v>0</v>
      </c>
      <c r="K29">
        <f>ROUND(6/100,7)</f>
        <v>0.06</v>
      </c>
      <c r="O29">
        <f>ROUND(CP29,2)</f>
        <v>328.35</v>
      </c>
      <c r="P29">
        <f>SUMIF(SmtRes!AQ14:'SmtRes'!AQ22,"=1",SmtRes!DF14:'SmtRes'!DF22)</f>
        <v>0</v>
      </c>
      <c r="Q29">
        <f>SUMIF(SmtRes!AQ14:'SmtRes'!AQ22,"=1",SmtRes!DG14:'SmtRes'!DG22)</f>
        <v>3.7199999999999998</v>
      </c>
      <c r="R29">
        <f>SUMIF(SmtRes!AQ14:'SmtRes'!AQ22,"=1",SmtRes!DH14:'SmtRes'!DH22)</f>
        <v>1.83</v>
      </c>
      <c r="S29">
        <f>SUMIF(SmtRes!AQ14:'SmtRes'!AQ22,"=1",SmtRes!DI14:'SmtRes'!DI22)</f>
        <v>322.8</v>
      </c>
      <c r="T29">
        <f>ROUND(CU29*I29,2)</f>
        <v>0</v>
      </c>
      <c r="U29">
        <f>SUMIF(SmtRes!AQ14:'SmtRes'!AQ22,"=1",SmtRes!CV14:'SmtRes'!CV22)</f>
        <v>0.74160000000000004</v>
      </c>
      <c r="V29">
        <f>SUMIF(SmtRes!AQ14:'SmtRes'!AQ22,"=1",SmtRes!CW14:'SmtRes'!CW22)</f>
        <v>3.5999999999999999E-3</v>
      </c>
      <c r="W29">
        <f>ROUND(CX29*I29,2)</f>
        <v>0</v>
      </c>
      <c r="X29">
        <f t="shared" si="21"/>
        <v>314.89</v>
      </c>
      <c r="Y29">
        <f t="shared" si="21"/>
        <v>165.56</v>
      </c>
      <c r="AA29">
        <v>61635504</v>
      </c>
      <c r="AB29">
        <f>ROUND((AC29+AD29+AF29),6)</f>
        <v>5439.3106799999996</v>
      </c>
      <c r="AC29">
        <f>ROUND((0),6)</f>
        <v>0</v>
      </c>
      <c r="AD29">
        <f>ROUND((((SUM(SmtRes!BR14:'SmtRes'!BR22))-(SUM(SmtRes!BS14:'SmtRes'!BS22)))+AE29),6)</f>
        <v>59.373480000000001</v>
      </c>
      <c r="AE29">
        <f>ROUND((SUM(SmtRes!BS14:'SmtRes'!BS22)),6)</f>
        <v>30.598800000000001</v>
      </c>
      <c r="AF29">
        <f>ROUND((SUM(SmtRes!BT14:'SmtRes'!BT22)),6)</f>
        <v>5379.9372000000003</v>
      </c>
      <c r="AG29">
        <f>ROUND((AP29),6)</f>
        <v>0</v>
      </c>
      <c r="AH29">
        <f>(SUM(SmtRes!BU14:'SmtRes'!BU22))</f>
        <v>12.360000000000001</v>
      </c>
      <c r="AI29">
        <f>(SUM(SmtRes!BV14:'SmtRes'!BV22))</f>
        <v>0.06</v>
      </c>
      <c r="AJ29">
        <f>(AS29)</f>
        <v>0</v>
      </c>
      <c r="AK29">
        <v>19422.307150000001</v>
      </c>
      <c r="AL29">
        <v>1189.2755500000001</v>
      </c>
      <c r="AM29">
        <v>197.91159999999999</v>
      </c>
      <c r="AN29">
        <v>101.99600000000001</v>
      </c>
      <c r="AO29">
        <v>17933.124</v>
      </c>
      <c r="AP29">
        <v>0</v>
      </c>
      <c r="AQ29">
        <v>41.2</v>
      </c>
      <c r="AR29">
        <v>0.2</v>
      </c>
      <c r="AS29">
        <v>0</v>
      </c>
      <c r="AT29">
        <v>97</v>
      </c>
      <c r="AU29">
        <v>51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39</v>
      </c>
      <c r="BM29">
        <v>108001</v>
      </c>
      <c r="BN29">
        <v>0</v>
      </c>
      <c r="BO29" t="s">
        <v>3</v>
      </c>
      <c r="BP29">
        <v>0</v>
      </c>
      <c r="BQ29">
        <v>3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97</v>
      </c>
      <c r="CA29">
        <v>51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40</v>
      </c>
      <c r="CO29">
        <v>0</v>
      </c>
      <c r="CP29">
        <f>(P29+Q29+S29+R29)</f>
        <v>328.35</v>
      </c>
      <c r="CQ29">
        <f>SUMIF(SmtRes!AQ14:'SmtRes'!AQ22,"=1",SmtRes!AA14:'SmtRes'!AA22)</f>
        <v>63613.310000000005</v>
      </c>
      <c r="CR29">
        <f>SUMIF(SmtRes!AQ14:'SmtRes'!AQ22,"=1",SmtRes!AB14:'SmtRes'!AB22)</f>
        <v>2054.4</v>
      </c>
      <c r="CS29">
        <f>SUMIF(SmtRes!AQ14:'SmtRes'!AQ22,"=1",SmtRes!AC14:'SmtRes'!AC22)</f>
        <v>1019.96</v>
      </c>
      <c r="CT29">
        <f>SUMIF(SmtRes!AQ14:'SmtRes'!AQ22,"=1",SmtRes!AD14:'SmtRes'!AD22)</f>
        <v>435.27</v>
      </c>
      <c r="CU29">
        <f>AG29</f>
        <v>0</v>
      </c>
      <c r="CV29">
        <f>SUMIF(SmtRes!AQ14:'SmtRes'!AQ22,"=1",SmtRes!BU14:'SmtRes'!BU22)</f>
        <v>12.360000000000001</v>
      </c>
      <c r="CW29">
        <f>SUMIF(SmtRes!AQ14:'SmtRes'!AQ22,"=1",SmtRes!BV14:'SmtRes'!BV22)</f>
        <v>0.06</v>
      </c>
      <c r="CX29">
        <f>AJ29</f>
        <v>0</v>
      </c>
      <c r="CY29">
        <f>(((S29+R29)*AT29)/100)</f>
        <v>314.89109999999999</v>
      </c>
      <c r="CZ29">
        <f>(((S29+R29)*AU29)/100)</f>
        <v>165.56130000000002</v>
      </c>
      <c r="DC29" t="s">
        <v>3</v>
      </c>
      <c r="DD29" t="s">
        <v>26</v>
      </c>
      <c r="DE29" t="s">
        <v>27</v>
      </c>
      <c r="DF29" t="s">
        <v>27</v>
      </c>
      <c r="DG29" t="s">
        <v>27</v>
      </c>
      <c r="DH29" t="s">
        <v>3</v>
      </c>
      <c r="DI29" t="s">
        <v>27</v>
      </c>
      <c r="DJ29" t="s">
        <v>27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38</v>
      </c>
      <c r="DW29" t="s">
        <v>38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60393196</v>
      </c>
      <c r="EF29">
        <v>3</v>
      </c>
      <c r="EG29" t="s">
        <v>41</v>
      </c>
      <c r="EH29">
        <v>0</v>
      </c>
      <c r="EI29" t="s">
        <v>3</v>
      </c>
      <c r="EJ29">
        <v>2</v>
      </c>
      <c r="EK29">
        <v>108001</v>
      </c>
      <c r="EL29" t="s">
        <v>42</v>
      </c>
      <c r="EM29" t="s">
        <v>43</v>
      </c>
      <c r="EO29" t="s">
        <v>44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41.2</v>
      </c>
      <c r="EX29">
        <v>0.2</v>
      </c>
      <c r="EY29">
        <v>0</v>
      </c>
      <c r="FQ29">
        <v>0</v>
      </c>
      <c r="FR29">
        <f>ROUND(IF(BI29=3,GM29,0),2)</f>
        <v>0</v>
      </c>
      <c r="FS29">
        <v>0</v>
      </c>
      <c r="FX29">
        <v>97</v>
      </c>
      <c r="FY29">
        <v>51</v>
      </c>
      <c r="GA29" t="s">
        <v>3</v>
      </c>
      <c r="GD29">
        <v>1</v>
      </c>
      <c r="GF29">
        <v>-1530116004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>ROUND(IF(AND(BH29=3,BI29=3,FS29&lt;&gt;0),P29,0),2)</f>
        <v>0</v>
      </c>
      <c r="GM29">
        <f>ROUND(O29+X29+Y29,2)+GX29</f>
        <v>808.8</v>
      </c>
      <c r="GN29">
        <f>IF(OR(BI29=0,BI29=1),GM29-GX29,0)</f>
        <v>0</v>
      </c>
      <c r="GO29">
        <f>IF(BI29=2,GM29-GX29,0)</f>
        <v>808.8</v>
      </c>
      <c r="GP29">
        <f>IF(BI29=4,GM29-GX29,0)</f>
        <v>0</v>
      </c>
      <c r="GR29">
        <v>0</v>
      </c>
      <c r="GS29">
        <v>3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45</v>
      </c>
      <c r="HO29" t="s">
        <v>46</v>
      </c>
      <c r="HP29" t="s">
        <v>42</v>
      </c>
      <c r="HQ29" t="s">
        <v>42</v>
      </c>
      <c r="IK29">
        <v>0</v>
      </c>
    </row>
    <row r="30" spans="1:245" x14ac:dyDescent="0.2">
      <c r="A30">
        <v>17</v>
      </c>
      <c r="B30">
        <v>1</v>
      </c>
      <c r="C30">
        <f>ROW(SmtRes!A25)</f>
        <v>25</v>
      </c>
      <c r="D30">
        <f>ROW(EtalonRes!A25)</f>
        <v>25</v>
      </c>
      <c r="E30" t="s">
        <v>47</v>
      </c>
      <c r="F30" t="s">
        <v>48</v>
      </c>
      <c r="G30" t="s">
        <v>49</v>
      </c>
      <c r="H30" t="s">
        <v>50</v>
      </c>
      <c r="I30">
        <v>8</v>
      </c>
      <c r="J30">
        <v>0</v>
      </c>
      <c r="K30">
        <v>8</v>
      </c>
      <c r="O30">
        <f>ROUND(CP30,2)</f>
        <v>3452.95</v>
      </c>
      <c r="P30">
        <f>SUMIF(SmtRes!AQ23:'SmtRes'!AQ25,"=1",SmtRes!DF23:'SmtRes'!DF25)</f>
        <v>0</v>
      </c>
      <c r="Q30">
        <f>SUMIF(SmtRes!AQ23:'SmtRes'!AQ25,"=1",SmtRes!DG23:'SmtRes'!DG25)</f>
        <v>227.49</v>
      </c>
      <c r="R30">
        <f>SUMIF(SmtRes!AQ23:'SmtRes'!AQ25,"=1",SmtRes!DH23:'SmtRes'!DH25)</f>
        <v>174.11</v>
      </c>
      <c r="S30">
        <f>SUMIF(SmtRes!AQ23:'SmtRes'!AQ25,"=1",SmtRes!DI23:'SmtRes'!DI25)</f>
        <v>3051.35</v>
      </c>
      <c r="T30">
        <f>ROUND(CU30*I30,2)</f>
        <v>0</v>
      </c>
      <c r="U30">
        <f>SUMIF(SmtRes!AQ23:'SmtRes'!AQ25,"=1",SmtRes!CV23:'SmtRes'!CV25)</f>
        <v>8.24</v>
      </c>
      <c r="V30">
        <f>SUMIF(SmtRes!AQ23:'SmtRes'!AQ25,"=1",SmtRes!CW23:'SmtRes'!CW25)</f>
        <v>0.4</v>
      </c>
      <c r="W30">
        <f>ROUND(CX30*I30,2)</f>
        <v>0</v>
      </c>
      <c r="X30">
        <f t="shared" si="21"/>
        <v>3322.22</v>
      </c>
      <c r="Y30">
        <f t="shared" si="21"/>
        <v>1935.28</v>
      </c>
      <c r="AA30">
        <v>61635504</v>
      </c>
      <c r="AB30">
        <f>ROUND((AC30+AD30+AF30),6)</f>
        <v>405.31529999999998</v>
      </c>
      <c r="AC30">
        <f>ROUND((0),6)</f>
        <v>0</v>
      </c>
      <c r="AD30">
        <f>ROUND((((SUM(SmtRes!BR23:'SmtRes'!BR25))-(SUM(SmtRes!BS23:'SmtRes'!BS25)))+AE30),6)</f>
        <v>23.896000000000001</v>
      </c>
      <c r="AE30">
        <f>ROUND((SUM(SmtRes!BS23:'SmtRes'!BS25)),6)</f>
        <v>21.763500000000001</v>
      </c>
      <c r="AF30">
        <f>ROUND((SUM(SmtRes!BT23:'SmtRes'!BT25)),6)</f>
        <v>381.41930000000002</v>
      </c>
      <c r="AG30">
        <f>ROUND((AP30),6)</f>
        <v>0</v>
      </c>
      <c r="AH30">
        <f>(SUM(SmtRes!BU23:'SmtRes'!BU25))</f>
        <v>1.03</v>
      </c>
      <c r="AI30">
        <f>(SUM(SmtRes!BV23:'SmtRes'!BV25))</f>
        <v>0.05</v>
      </c>
      <c r="AJ30">
        <f>(AS30)</f>
        <v>0</v>
      </c>
      <c r="AK30">
        <v>427.07880000000006</v>
      </c>
      <c r="AL30">
        <v>0</v>
      </c>
      <c r="AM30">
        <v>23.896000000000001</v>
      </c>
      <c r="AN30">
        <v>21.763500000000001</v>
      </c>
      <c r="AO30">
        <v>381.41930000000002</v>
      </c>
      <c r="AP30">
        <v>0</v>
      </c>
      <c r="AQ30">
        <v>1.03</v>
      </c>
      <c r="AR30">
        <v>0.05</v>
      </c>
      <c r="AS30">
        <v>0</v>
      </c>
      <c r="AT30">
        <v>103</v>
      </c>
      <c r="AU30">
        <v>60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51</v>
      </c>
      <c r="BM30">
        <v>33001</v>
      </c>
      <c r="BN30">
        <v>0</v>
      </c>
      <c r="BO30" t="s">
        <v>3</v>
      </c>
      <c r="BP30">
        <v>0</v>
      </c>
      <c r="BQ30">
        <v>2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103</v>
      </c>
      <c r="CA30">
        <v>60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(P30+Q30+S30+R30)</f>
        <v>3452.9500000000003</v>
      </c>
      <c r="CQ30">
        <f>SUMIF(SmtRes!AQ23:'SmtRes'!AQ25,"=1",SmtRes!AA23:'SmtRes'!AA25)</f>
        <v>0</v>
      </c>
      <c r="CR30">
        <f>SUMIF(SmtRes!AQ23:'SmtRes'!AQ25,"=1",SmtRes!AB23:'SmtRes'!AB25)</f>
        <v>568.72</v>
      </c>
      <c r="CS30">
        <f>SUMIF(SmtRes!AQ23:'SmtRes'!AQ25,"=1",SmtRes!AC23:'SmtRes'!AC25)</f>
        <v>435.27</v>
      </c>
      <c r="CT30">
        <f>SUMIF(SmtRes!AQ23:'SmtRes'!AQ25,"=1",SmtRes!AD23:'SmtRes'!AD25)</f>
        <v>370.31</v>
      </c>
      <c r="CU30">
        <f>AG30</f>
        <v>0</v>
      </c>
      <c r="CV30">
        <f>SUMIF(SmtRes!AQ23:'SmtRes'!AQ25,"=1",SmtRes!BU23:'SmtRes'!BU25)</f>
        <v>1.03</v>
      </c>
      <c r="CW30">
        <f>SUMIF(SmtRes!AQ23:'SmtRes'!AQ25,"=1",SmtRes!BV23:'SmtRes'!BV25)</f>
        <v>0.05</v>
      </c>
      <c r="CX30">
        <f>AJ30</f>
        <v>0</v>
      </c>
      <c r="CY30">
        <f>(((S30+R30)*AT30)/100)</f>
        <v>3322.2238000000002</v>
      </c>
      <c r="CZ30">
        <f>(((S30+R30)*AU30)/100)</f>
        <v>1935.2760000000001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50</v>
      </c>
      <c r="DW30" t="s">
        <v>50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60393367</v>
      </c>
      <c r="EF30">
        <v>2</v>
      </c>
      <c r="EG30" t="s">
        <v>29</v>
      </c>
      <c r="EH30">
        <v>27</v>
      </c>
      <c r="EI30" t="s">
        <v>30</v>
      </c>
      <c r="EJ30">
        <v>1</v>
      </c>
      <c r="EK30">
        <v>33001</v>
      </c>
      <c r="EL30" t="s">
        <v>30</v>
      </c>
      <c r="EM30" t="s">
        <v>31</v>
      </c>
      <c r="EO30" t="s">
        <v>3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1.03</v>
      </c>
      <c r="EX30">
        <v>0.05</v>
      </c>
      <c r="EY30">
        <v>0</v>
      </c>
      <c r="FQ30">
        <v>0</v>
      </c>
      <c r="FR30">
        <f>ROUND(IF(BI30=3,GM30,0),2)</f>
        <v>0</v>
      </c>
      <c r="FS30">
        <v>0</v>
      </c>
      <c r="FX30">
        <v>103</v>
      </c>
      <c r="FY30">
        <v>60</v>
      </c>
      <c r="GA30" t="s">
        <v>3</v>
      </c>
      <c r="GD30">
        <v>1</v>
      </c>
      <c r="GF30">
        <v>834883211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>ROUND(IF(AND(BH30=3,BI30=3,FS30&lt;&gt;0),P30,0),2)</f>
        <v>0</v>
      </c>
      <c r="GM30">
        <f>ROUND(O30+X30+Y30,2)+GX30</f>
        <v>8710.4500000000007</v>
      </c>
      <c r="GN30">
        <f>IF(OR(BI30=0,BI30=1),GM30-GX30,0)</f>
        <v>8710.4500000000007</v>
      </c>
      <c r="GO30">
        <f>IF(BI30=2,GM30-GX30,0)</f>
        <v>0</v>
      </c>
      <c r="GP30">
        <f>IF(BI30=4,GM30-GX30,0)</f>
        <v>0</v>
      </c>
      <c r="GR30">
        <v>0</v>
      </c>
      <c r="GS30">
        <v>3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33</v>
      </c>
      <c r="HO30" t="s">
        <v>34</v>
      </c>
      <c r="HP30" t="s">
        <v>30</v>
      </c>
      <c r="HQ30" t="s">
        <v>30</v>
      </c>
      <c r="IK30">
        <v>0</v>
      </c>
    </row>
    <row r="32" spans="1:245" x14ac:dyDescent="0.2">
      <c r="A32" s="2">
        <v>51</v>
      </c>
      <c r="B32" s="2">
        <f>B24</f>
        <v>1</v>
      </c>
      <c r="C32" s="2">
        <f>A24</f>
        <v>4</v>
      </c>
      <c r="D32" s="2">
        <f>ROW(A24)</f>
        <v>24</v>
      </c>
      <c r="E32" s="2"/>
      <c r="F32" s="2" t="str">
        <f>IF(F24&lt;&gt;"",F24,"")</f>
        <v>Новый раздел</v>
      </c>
      <c r="G32" s="2" t="str">
        <f>IF(G24&lt;&gt;"",G24,"")</f>
        <v>Демонтажные работы</v>
      </c>
      <c r="H32" s="2">
        <v>0</v>
      </c>
      <c r="I32" s="2"/>
      <c r="J32" s="2"/>
      <c r="K32" s="2"/>
      <c r="L32" s="2"/>
      <c r="M32" s="2"/>
      <c r="N32" s="2"/>
      <c r="O32" s="2">
        <f t="shared" ref="O32:T32" si="22">ROUND(AB32,2)</f>
        <v>7775.25</v>
      </c>
      <c r="P32" s="2">
        <f t="shared" si="22"/>
        <v>0</v>
      </c>
      <c r="Q32" s="2">
        <f t="shared" si="22"/>
        <v>981.54</v>
      </c>
      <c r="R32" s="2">
        <f t="shared" si="22"/>
        <v>865.54</v>
      </c>
      <c r="S32" s="2">
        <f t="shared" si="22"/>
        <v>5928.17</v>
      </c>
      <c r="T32" s="2">
        <f t="shared" si="22"/>
        <v>0</v>
      </c>
      <c r="U32" s="2">
        <f>AH32</f>
        <v>14.974160000000001</v>
      </c>
      <c r="V32" s="2">
        <f>AI32</f>
        <v>1.97167</v>
      </c>
      <c r="W32" s="2">
        <f>ROUND(AJ32,2)</f>
        <v>0</v>
      </c>
      <c r="X32" s="2">
        <f>ROUND(AK32,2)</f>
        <v>6978.04</v>
      </c>
      <c r="Y32" s="2">
        <f>ROUND(AL32,2)</f>
        <v>4047.01</v>
      </c>
      <c r="Z32" s="2"/>
      <c r="AA32" s="2"/>
      <c r="AB32" s="2">
        <f>ROUND(SUMIF(AA28:AA30,"=61635504",O28:O30),2)</f>
        <v>7775.25</v>
      </c>
      <c r="AC32" s="2">
        <f>ROUND(SUMIF(AA28:AA30,"=61635504",P28:P30),2)</f>
        <v>0</v>
      </c>
      <c r="AD32" s="2">
        <f>ROUND(SUMIF(AA28:AA30,"=61635504",Q28:Q30),2)</f>
        <v>981.54</v>
      </c>
      <c r="AE32" s="2">
        <f>ROUND(SUMIF(AA28:AA30,"=61635504",R28:R30),2)</f>
        <v>865.54</v>
      </c>
      <c r="AF32" s="2">
        <f>ROUND(SUMIF(AA28:AA30,"=61635504",S28:S30),2)</f>
        <v>5928.17</v>
      </c>
      <c r="AG32" s="2">
        <f>ROUND(SUMIF(AA28:AA30,"=61635504",T28:T30),2)</f>
        <v>0</v>
      </c>
      <c r="AH32" s="2">
        <f>SUMIF(AA28:AA30,"=61635504",U28:U30)</f>
        <v>14.974160000000001</v>
      </c>
      <c r="AI32" s="2">
        <f>SUMIF(AA28:AA30,"=61635504",V28:V30)</f>
        <v>1.97167</v>
      </c>
      <c r="AJ32" s="2">
        <f>ROUND(SUMIF(AA28:AA30,"=61635504",W28:W30),2)</f>
        <v>0</v>
      </c>
      <c r="AK32" s="2">
        <f>ROUND(SUMIF(AA28:AA30,"=61635504",X28:X30),2)</f>
        <v>6978.04</v>
      </c>
      <c r="AL32" s="2">
        <f>ROUND(SUMIF(AA28:AA30,"=61635504",Y28:Y30),2)</f>
        <v>4047.01</v>
      </c>
      <c r="AM32" s="2"/>
      <c r="AN32" s="2"/>
      <c r="AO32" s="2">
        <f t="shared" ref="AO32:BD32" si="23">ROUND(BX32,2)</f>
        <v>0</v>
      </c>
      <c r="AP32" s="2">
        <f t="shared" si="23"/>
        <v>0</v>
      </c>
      <c r="AQ32" s="2">
        <f t="shared" si="23"/>
        <v>0</v>
      </c>
      <c r="AR32" s="2">
        <f t="shared" si="23"/>
        <v>18800.3</v>
      </c>
      <c r="AS32" s="2">
        <f t="shared" si="23"/>
        <v>17991.5</v>
      </c>
      <c r="AT32" s="2">
        <f t="shared" si="23"/>
        <v>808.8</v>
      </c>
      <c r="AU32" s="2">
        <f t="shared" si="23"/>
        <v>0</v>
      </c>
      <c r="AV32" s="2">
        <f t="shared" si="23"/>
        <v>0</v>
      </c>
      <c r="AW32" s="2">
        <f t="shared" si="23"/>
        <v>0</v>
      </c>
      <c r="AX32" s="2">
        <f t="shared" si="23"/>
        <v>0</v>
      </c>
      <c r="AY32" s="2">
        <f t="shared" si="23"/>
        <v>0</v>
      </c>
      <c r="AZ32" s="2">
        <f t="shared" si="23"/>
        <v>0</v>
      </c>
      <c r="BA32" s="2">
        <f t="shared" si="23"/>
        <v>0</v>
      </c>
      <c r="BB32" s="2">
        <f t="shared" si="23"/>
        <v>0</v>
      </c>
      <c r="BC32" s="2">
        <f t="shared" si="23"/>
        <v>0</v>
      </c>
      <c r="BD32" s="2">
        <f t="shared" si="23"/>
        <v>0</v>
      </c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>
        <f>ROUND(SUMIF(AA28:AA30,"=61635504",FQ28:FQ30),2)</f>
        <v>0</v>
      </c>
      <c r="BY32" s="2">
        <f>ROUND(SUMIF(AA28:AA30,"=61635504",FR28:FR30),2)</f>
        <v>0</v>
      </c>
      <c r="BZ32" s="2">
        <f>ROUND(SUMIF(AA28:AA30,"=61635504",GL28:GL30),2)</f>
        <v>0</v>
      </c>
      <c r="CA32" s="2">
        <f>ROUND(SUMIF(AA28:AA30,"=61635504",GM28:GM30),2)</f>
        <v>18800.3</v>
      </c>
      <c r="CB32" s="2">
        <f>ROUND(SUMIF(AA28:AA30,"=61635504",GN28:GN30),2)</f>
        <v>17991.5</v>
      </c>
      <c r="CC32" s="2">
        <f>ROUND(SUMIF(AA28:AA30,"=61635504",GO28:GO30),2)</f>
        <v>808.8</v>
      </c>
      <c r="CD32" s="2">
        <f>ROUND(SUMIF(AA28:AA30,"=61635504",GP28:GP30),2)</f>
        <v>0</v>
      </c>
      <c r="CE32" s="2">
        <f>AC32-BX32</f>
        <v>0</v>
      </c>
      <c r="CF32" s="2">
        <f>AC32-BY32</f>
        <v>0</v>
      </c>
      <c r="CG32" s="2">
        <f>BX32-BZ32</f>
        <v>0</v>
      </c>
      <c r="CH32" s="2">
        <f>AC32-BX32-BY32+BZ32</f>
        <v>0</v>
      </c>
      <c r="CI32" s="2">
        <f>BY32-BZ32</f>
        <v>0</v>
      </c>
      <c r="CJ32" s="2">
        <f>ROUND(SUMIF(AA28:AA30,"=61635504",GX28:GX30),2)</f>
        <v>0</v>
      </c>
      <c r="CK32" s="2">
        <f>ROUND(SUMIF(AA28:AA30,"=61635504",GY28:GY30),2)</f>
        <v>0</v>
      </c>
      <c r="CL32" s="2">
        <f>ROUND(SUMIF(AA28:AA30,"=61635504",GZ28:GZ30),2)</f>
        <v>0</v>
      </c>
      <c r="CM32" s="2">
        <f>ROUND(SUMIF(AA28:AA30,"=61635504",HD28:HD30),2)</f>
        <v>0</v>
      </c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>
        <v>0</v>
      </c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201</v>
      </c>
      <c r="F34" s="4">
        <f>ROUND(Source!O32,O34)</f>
        <v>7775.25</v>
      </c>
      <c r="G34" s="4" t="s">
        <v>52</v>
      </c>
      <c r="H34" s="4" t="s">
        <v>53</v>
      </c>
      <c r="I34" s="4"/>
      <c r="J34" s="4"/>
      <c r="K34" s="4">
        <v>201</v>
      </c>
      <c r="L34" s="4">
        <v>1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7775.25</v>
      </c>
      <c r="X34" s="4">
        <v>1</v>
      </c>
      <c r="Y34" s="4">
        <v>7775.25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202</v>
      </c>
      <c r="F35" s="4">
        <f>ROUND(Source!P32,O35)</f>
        <v>0</v>
      </c>
      <c r="G35" s="4" t="s">
        <v>54</v>
      </c>
      <c r="H35" s="4" t="s">
        <v>55</v>
      </c>
      <c r="I35" s="4"/>
      <c r="J35" s="4"/>
      <c r="K35" s="4">
        <v>202</v>
      </c>
      <c r="L35" s="4">
        <v>2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222</v>
      </c>
      <c r="F36" s="4">
        <f>ROUND(Source!AO32,O36)</f>
        <v>0</v>
      </c>
      <c r="G36" s="4" t="s">
        <v>56</v>
      </c>
      <c r="H36" s="4" t="s">
        <v>57</v>
      </c>
      <c r="I36" s="4"/>
      <c r="J36" s="4"/>
      <c r="K36" s="4">
        <v>222</v>
      </c>
      <c r="L36" s="4">
        <v>3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225</v>
      </c>
      <c r="F37" s="4">
        <f>ROUND(Source!AV32,O37)</f>
        <v>0</v>
      </c>
      <c r="G37" s="4" t="s">
        <v>58</v>
      </c>
      <c r="H37" s="4" t="s">
        <v>59</v>
      </c>
      <c r="I37" s="4"/>
      <c r="J37" s="4"/>
      <c r="K37" s="4">
        <v>225</v>
      </c>
      <c r="L37" s="4">
        <v>4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226</v>
      </c>
      <c r="F38" s="4">
        <f>ROUND(Source!AW32,O38)</f>
        <v>0</v>
      </c>
      <c r="G38" s="4" t="s">
        <v>60</v>
      </c>
      <c r="H38" s="4" t="s">
        <v>61</v>
      </c>
      <c r="I38" s="4"/>
      <c r="J38" s="4"/>
      <c r="K38" s="4">
        <v>226</v>
      </c>
      <c r="L38" s="4">
        <v>5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227</v>
      </c>
      <c r="F39" s="4">
        <f>ROUND(Source!AX32,O39)</f>
        <v>0</v>
      </c>
      <c r="G39" s="4" t="s">
        <v>62</v>
      </c>
      <c r="H39" s="4" t="s">
        <v>63</v>
      </c>
      <c r="I39" s="4"/>
      <c r="J39" s="4"/>
      <c r="K39" s="4">
        <v>227</v>
      </c>
      <c r="L39" s="4">
        <v>6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228</v>
      </c>
      <c r="F40" s="4">
        <f>ROUND(Source!AY32,O40)</f>
        <v>0</v>
      </c>
      <c r="G40" s="4" t="s">
        <v>64</v>
      </c>
      <c r="H40" s="4" t="s">
        <v>65</v>
      </c>
      <c r="I40" s="4"/>
      <c r="J40" s="4"/>
      <c r="K40" s="4">
        <v>228</v>
      </c>
      <c r="L40" s="4">
        <v>7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216</v>
      </c>
      <c r="F41" s="4">
        <f>ROUND(Source!AP32,O41)</f>
        <v>0</v>
      </c>
      <c r="G41" s="4" t="s">
        <v>66</v>
      </c>
      <c r="H41" s="4" t="s">
        <v>67</v>
      </c>
      <c r="I41" s="4"/>
      <c r="J41" s="4"/>
      <c r="K41" s="4">
        <v>216</v>
      </c>
      <c r="L41" s="4">
        <v>8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223</v>
      </c>
      <c r="F42" s="4">
        <f>ROUND(Source!AQ32,O42)</f>
        <v>0</v>
      </c>
      <c r="G42" s="4" t="s">
        <v>68</v>
      </c>
      <c r="H42" s="4" t="s">
        <v>69</v>
      </c>
      <c r="I42" s="4"/>
      <c r="J42" s="4"/>
      <c r="K42" s="4">
        <v>223</v>
      </c>
      <c r="L42" s="4">
        <v>9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229</v>
      </c>
      <c r="F43" s="4">
        <f>ROUND(Source!AZ32,O43)</f>
        <v>0</v>
      </c>
      <c r="G43" s="4" t="s">
        <v>70</v>
      </c>
      <c r="H43" s="4" t="s">
        <v>71</v>
      </c>
      <c r="I43" s="4"/>
      <c r="J43" s="4"/>
      <c r="K43" s="4">
        <v>229</v>
      </c>
      <c r="L43" s="4">
        <v>10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203</v>
      </c>
      <c r="F44" s="4">
        <f>ROUND(Source!Q32,O44)</f>
        <v>981.54</v>
      </c>
      <c r="G44" s="4" t="s">
        <v>72</v>
      </c>
      <c r="H44" s="4" t="s">
        <v>73</v>
      </c>
      <c r="I44" s="4"/>
      <c r="J44" s="4"/>
      <c r="K44" s="4">
        <v>203</v>
      </c>
      <c r="L44" s="4">
        <v>11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981.54000000000008</v>
      </c>
      <c r="X44" s="4">
        <v>1</v>
      </c>
      <c r="Y44" s="4">
        <v>981.54000000000008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231</v>
      </c>
      <c r="F45" s="4">
        <f>ROUND(Source!BB32,O45)</f>
        <v>0</v>
      </c>
      <c r="G45" s="4" t="s">
        <v>74</v>
      </c>
      <c r="H45" s="4" t="s">
        <v>75</v>
      </c>
      <c r="I45" s="4"/>
      <c r="J45" s="4"/>
      <c r="K45" s="4">
        <v>231</v>
      </c>
      <c r="L45" s="4">
        <v>12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204</v>
      </c>
      <c r="F46" s="4">
        <f>ROUND(Source!R32,O46)</f>
        <v>865.54</v>
      </c>
      <c r="G46" s="4" t="s">
        <v>76</v>
      </c>
      <c r="H46" s="4" t="s">
        <v>77</v>
      </c>
      <c r="I46" s="4"/>
      <c r="J46" s="4"/>
      <c r="K46" s="4">
        <v>204</v>
      </c>
      <c r="L46" s="4">
        <v>13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865.54000000000008</v>
      </c>
      <c r="X46" s="4">
        <v>1</v>
      </c>
      <c r="Y46" s="4">
        <v>865.54000000000008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205</v>
      </c>
      <c r="F47" s="4">
        <f>ROUND(Source!S32,O47)</f>
        <v>5928.17</v>
      </c>
      <c r="G47" s="4" t="s">
        <v>78</v>
      </c>
      <c r="H47" s="4" t="s">
        <v>79</v>
      </c>
      <c r="I47" s="4"/>
      <c r="J47" s="4"/>
      <c r="K47" s="4">
        <v>205</v>
      </c>
      <c r="L47" s="4">
        <v>14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5928.17</v>
      </c>
      <c r="X47" s="4">
        <v>1</v>
      </c>
      <c r="Y47" s="4">
        <v>5928.17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232</v>
      </c>
      <c r="F48" s="4">
        <f>ROUND(Source!BC32,O48)</f>
        <v>0</v>
      </c>
      <c r="G48" s="4" t="s">
        <v>80</v>
      </c>
      <c r="H48" s="4" t="s">
        <v>81</v>
      </c>
      <c r="I48" s="4"/>
      <c r="J48" s="4"/>
      <c r="K48" s="4">
        <v>232</v>
      </c>
      <c r="L48" s="4">
        <v>15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06" x14ac:dyDescent="0.2">
      <c r="A49" s="4">
        <v>50</v>
      </c>
      <c r="B49" s="4">
        <v>0</v>
      </c>
      <c r="C49" s="4">
        <v>0</v>
      </c>
      <c r="D49" s="4">
        <v>1</v>
      </c>
      <c r="E49" s="4">
        <v>214</v>
      </c>
      <c r="F49" s="4">
        <f>ROUND(Source!AS32,O49)</f>
        <v>17991.5</v>
      </c>
      <c r="G49" s="4" t="s">
        <v>82</v>
      </c>
      <c r="H49" s="4" t="s">
        <v>83</v>
      </c>
      <c r="I49" s="4"/>
      <c r="J49" s="4"/>
      <c r="K49" s="4">
        <v>214</v>
      </c>
      <c r="L49" s="4">
        <v>16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17991.5</v>
      </c>
      <c r="X49" s="4">
        <v>1</v>
      </c>
      <c r="Y49" s="4">
        <v>17991.5</v>
      </c>
      <c r="Z49" s="4"/>
      <c r="AA49" s="4"/>
      <c r="AB49" s="4"/>
    </row>
    <row r="50" spans="1:206" x14ac:dyDescent="0.2">
      <c r="A50" s="4">
        <v>50</v>
      </c>
      <c r="B50" s="4">
        <v>0</v>
      </c>
      <c r="C50" s="4">
        <v>0</v>
      </c>
      <c r="D50" s="4">
        <v>1</v>
      </c>
      <c r="E50" s="4">
        <v>215</v>
      </c>
      <c r="F50" s="4">
        <f>ROUND(Source!AT32,O50)</f>
        <v>808.8</v>
      </c>
      <c r="G50" s="4" t="s">
        <v>84</v>
      </c>
      <c r="H50" s="4" t="s">
        <v>85</v>
      </c>
      <c r="I50" s="4"/>
      <c r="J50" s="4"/>
      <c r="K50" s="4">
        <v>215</v>
      </c>
      <c r="L50" s="4">
        <v>17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808.8</v>
      </c>
      <c r="X50" s="4">
        <v>1</v>
      </c>
      <c r="Y50" s="4">
        <v>808.8</v>
      </c>
      <c r="Z50" s="4"/>
      <c r="AA50" s="4"/>
      <c r="AB50" s="4"/>
    </row>
    <row r="51" spans="1:206" x14ac:dyDescent="0.2">
      <c r="A51" s="4">
        <v>50</v>
      </c>
      <c r="B51" s="4">
        <v>0</v>
      </c>
      <c r="C51" s="4">
        <v>0</v>
      </c>
      <c r="D51" s="4">
        <v>1</v>
      </c>
      <c r="E51" s="4">
        <v>217</v>
      </c>
      <c r="F51" s="4">
        <f>ROUND(Source!AU32,O51)</f>
        <v>0</v>
      </c>
      <c r="G51" s="4" t="s">
        <v>86</v>
      </c>
      <c r="H51" s="4" t="s">
        <v>87</v>
      </c>
      <c r="I51" s="4"/>
      <c r="J51" s="4"/>
      <c r="K51" s="4">
        <v>217</v>
      </c>
      <c r="L51" s="4">
        <v>18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06" x14ac:dyDescent="0.2">
      <c r="A52" s="4">
        <v>50</v>
      </c>
      <c r="B52" s="4">
        <v>0</v>
      </c>
      <c r="C52" s="4">
        <v>0</v>
      </c>
      <c r="D52" s="4">
        <v>1</v>
      </c>
      <c r="E52" s="4">
        <v>230</v>
      </c>
      <c r="F52" s="4">
        <f>ROUND(Source!BA32,O52)</f>
        <v>0</v>
      </c>
      <c r="G52" s="4" t="s">
        <v>88</v>
      </c>
      <c r="H52" s="4" t="s">
        <v>89</v>
      </c>
      <c r="I52" s="4"/>
      <c r="J52" s="4"/>
      <c r="K52" s="4">
        <v>230</v>
      </c>
      <c r="L52" s="4">
        <v>19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06" x14ac:dyDescent="0.2">
      <c r="A53" s="4">
        <v>50</v>
      </c>
      <c r="B53" s="4">
        <v>0</v>
      </c>
      <c r="C53" s="4">
        <v>0</v>
      </c>
      <c r="D53" s="4">
        <v>1</v>
      </c>
      <c r="E53" s="4">
        <v>206</v>
      </c>
      <c r="F53" s="4">
        <f>ROUND(Source!T32,O53)</f>
        <v>0</v>
      </c>
      <c r="G53" s="4" t="s">
        <v>90</v>
      </c>
      <c r="H53" s="4" t="s">
        <v>91</v>
      </c>
      <c r="I53" s="4"/>
      <c r="J53" s="4"/>
      <c r="K53" s="4">
        <v>206</v>
      </c>
      <c r="L53" s="4">
        <v>20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x14ac:dyDescent="0.2">
      <c r="A54" s="4">
        <v>50</v>
      </c>
      <c r="B54" s="4">
        <v>0</v>
      </c>
      <c r="C54" s="4">
        <v>0</v>
      </c>
      <c r="D54" s="4">
        <v>1</v>
      </c>
      <c r="E54" s="4">
        <v>207</v>
      </c>
      <c r="F54" s="4">
        <f>ROUND(Source!U32,O54)</f>
        <v>14.974159999999999</v>
      </c>
      <c r="G54" s="4" t="s">
        <v>92</v>
      </c>
      <c r="H54" s="4" t="s">
        <v>93</v>
      </c>
      <c r="I54" s="4"/>
      <c r="J54" s="4"/>
      <c r="K54" s="4">
        <v>207</v>
      </c>
      <c r="L54" s="4">
        <v>21</v>
      </c>
      <c r="M54" s="4">
        <v>3</v>
      </c>
      <c r="N54" s="4" t="s">
        <v>3</v>
      </c>
      <c r="O54" s="4">
        <v>7</v>
      </c>
      <c r="P54" s="4"/>
      <c r="Q54" s="4"/>
      <c r="R54" s="4"/>
      <c r="S54" s="4"/>
      <c r="T54" s="4"/>
      <c r="U54" s="4"/>
      <c r="V54" s="4"/>
      <c r="W54" s="4">
        <v>14.974159999999999</v>
      </c>
      <c r="X54" s="4">
        <v>1</v>
      </c>
      <c r="Y54" s="4">
        <v>14.974159999999999</v>
      </c>
      <c r="Z54" s="4"/>
      <c r="AA54" s="4"/>
      <c r="AB54" s="4"/>
    </row>
    <row r="55" spans="1:206" x14ac:dyDescent="0.2">
      <c r="A55" s="4">
        <v>50</v>
      </c>
      <c r="B55" s="4">
        <v>0</v>
      </c>
      <c r="C55" s="4">
        <v>0</v>
      </c>
      <c r="D55" s="4">
        <v>1</v>
      </c>
      <c r="E55" s="4">
        <v>208</v>
      </c>
      <c r="F55" s="4">
        <f>ROUND(Source!V32,O55)</f>
        <v>1.97167</v>
      </c>
      <c r="G55" s="4" t="s">
        <v>94</v>
      </c>
      <c r="H55" s="4" t="s">
        <v>95</v>
      </c>
      <c r="I55" s="4"/>
      <c r="J55" s="4"/>
      <c r="K55" s="4">
        <v>208</v>
      </c>
      <c r="L55" s="4">
        <v>22</v>
      </c>
      <c r="M55" s="4">
        <v>3</v>
      </c>
      <c r="N55" s="4" t="s">
        <v>3</v>
      </c>
      <c r="O55" s="4">
        <v>7</v>
      </c>
      <c r="P55" s="4"/>
      <c r="Q55" s="4"/>
      <c r="R55" s="4"/>
      <c r="S55" s="4"/>
      <c r="T55" s="4"/>
      <c r="U55" s="4"/>
      <c r="V55" s="4"/>
      <c r="W55" s="4">
        <v>1.97167</v>
      </c>
      <c r="X55" s="4">
        <v>1</v>
      </c>
      <c r="Y55" s="4">
        <v>1.97167</v>
      </c>
      <c r="Z55" s="4"/>
      <c r="AA55" s="4"/>
      <c r="AB55" s="4"/>
    </row>
    <row r="56" spans="1:206" x14ac:dyDescent="0.2">
      <c r="A56" s="4">
        <v>50</v>
      </c>
      <c r="B56" s="4">
        <v>0</v>
      </c>
      <c r="C56" s="4">
        <v>0</v>
      </c>
      <c r="D56" s="4">
        <v>1</v>
      </c>
      <c r="E56" s="4">
        <v>209</v>
      </c>
      <c r="F56" s="4">
        <f>ROUND(Source!W32,O56)</f>
        <v>0</v>
      </c>
      <c r="G56" s="4" t="s">
        <v>96</v>
      </c>
      <c r="H56" s="4" t="s">
        <v>97</v>
      </c>
      <c r="I56" s="4"/>
      <c r="J56" s="4"/>
      <c r="K56" s="4">
        <v>209</v>
      </c>
      <c r="L56" s="4">
        <v>23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x14ac:dyDescent="0.2">
      <c r="A57" s="4">
        <v>50</v>
      </c>
      <c r="B57" s="4">
        <v>0</v>
      </c>
      <c r="C57" s="4">
        <v>0</v>
      </c>
      <c r="D57" s="4">
        <v>1</v>
      </c>
      <c r="E57" s="4">
        <v>233</v>
      </c>
      <c r="F57" s="4">
        <f>ROUND(Source!BD32,O57)</f>
        <v>0</v>
      </c>
      <c r="G57" s="4" t="s">
        <v>98</v>
      </c>
      <c r="H57" s="4" t="s">
        <v>99</v>
      </c>
      <c r="I57" s="4"/>
      <c r="J57" s="4"/>
      <c r="K57" s="4">
        <v>233</v>
      </c>
      <c r="L57" s="4">
        <v>24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06" x14ac:dyDescent="0.2">
      <c r="A58" s="4">
        <v>50</v>
      </c>
      <c r="B58" s="4">
        <v>0</v>
      </c>
      <c r="C58" s="4">
        <v>0</v>
      </c>
      <c r="D58" s="4">
        <v>1</v>
      </c>
      <c r="E58" s="4">
        <v>210</v>
      </c>
      <c r="F58" s="4">
        <f>ROUND(Source!X32,O58)</f>
        <v>6978.04</v>
      </c>
      <c r="G58" s="4" t="s">
        <v>100</v>
      </c>
      <c r="H58" s="4" t="s">
        <v>101</v>
      </c>
      <c r="I58" s="4"/>
      <c r="J58" s="4"/>
      <c r="K58" s="4">
        <v>210</v>
      </c>
      <c r="L58" s="4">
        <v>25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6978.04</v>
      </c>
      <c r="X58" s="4">
        <v>1</v>
      </c>
      <c r="Y58" s="4">
        <v>6978.04</v>
      </c>
      <c r="Z58" s="4"/>
      <c r="AA58" s="4"/>
      <c r="AB58" s="4"/>
    </row>
    <row r="59" spans="1:206" x14ac:dyDescent="0.2">
      <c r="A59" s="4">
        <v>50</v>
      </c>
      <c r="B59" s="4">
        <v>0</v>
      </c>
      <c r="C59" s="4">
        <v>0</v>
      </c>
      <c r="D59" s="4">
        <v>1</v>
      </c>
      <c r="E59" s="4">
        <v>211</v>
      </c>
      <c r="F59" s="4">
        <f>ROUND(Source!Y32,O59)</f>
        <v>4047.01</v>
      </c>
      <c r="G59" s="4" t="s">
        <v>102</v>
      </c>
      <c r="H59" s="4" t="s">
        <v>103</v>
      </c>
      <c r="I59" s="4"/>
      <c r="J59" s="4"/>
      <c r="K59" s="4">
        <v>211</v>
      </c>
      <c r="L59" s="4">
        <v>26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4047.01</v>
      </c>
      <c r="X59" s="4">
        <v>1</v>
      </c>
      <c r="Y59" s="4">
        <v>4047.01</v>
      </c>
      <c r="Z59" s="4"/>
      <c r="AA59" s="4"/>
      <c r="AB59" s="4"/>
    </row>
    <row r="60" spans="1:206" x14ac:dyDescent="0.2">
      <c r="A60" s="4">
        <v>50</v>
      </c>
      <c r="B60" s="4">
        <v>0</v>
      </c>
      <c r="C60" s="4">
        <v>0</v>
      </c>
      <c r="D60" s="4">
        <v>1</v>
      </c>
      <c r="E60" s="4">
        <v>224</v>
      </c>
      <c r="F60" s="4">
        <f>ROUND(Source!AR32,O60)</f>
        <v>18800.3</v>
      </c>
      <c r="G60" s="4" t="s">
        <v>104</v>
      </c>
      <c r="H60" s="4" t="s">
        <v>105</v>
      </c>
      <c r="I60" s="4"/>
      <c r="J60" s="4"/>
      <c r="K60" s="4">
        <v>224</v>
      </c>
      <c r="L60" s="4">
        <v>27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18800.300000000003</v>
      </c>
      <c r="X60" s="4">
        <v>1</v>
      </c>
      <c r="Y60" s="4">
        <v>18800.300000000003</v>
      </c>
      <c r="Z60" s="4"/>
      <c r="AA60" s="4"/>
      <c r="AB60" s="4"/>
    </row>
    <row r="62" spans="1:206" x14ac:dyDescent="0.2">
      <c r="A62" s="1">
        <v>4</v>
      </c>
      <c r="B62" s="1">
        <v>1</v>
      </c>
      <c r="C62" s="1"/>
      <c r="D62" s="1">
        <f>ROW(A78)</f>
        <v>78</v>
      </c>
      <c r="E62" s="1"/>
      <c r="F62" s="1" t="s">
        <v>18</v>
      </c>
      <c r="G62" s="1" t="s">
        <v>41</v>
      </c>
      <c r="H62" s="1" t="s">
        <v>3</v>
      </c>
      <c r="I62" s="1">
        <v>0</v>
      </c>
      <c r="J62" s="1"/>
      <c r="K62" s="1">
        <v>0</v>
      </c>
      <c r="L62" s="1"/>
      <c r="M62" s="1" t="s">
        <v>3</v>
      </c>
      <c r="N62" s="1"/>
      <c r="O62" s="1"/>
      <c r="P62" s="1"/>
      <c r="Q62" s="1"/>
      <c r="R62" s="1"/>
      <c r="S62" s="1">
        <v>0</v>
      </c>
      <c r="T62" s="1"/>
      <c r="U62" s="1" t="s">
        <v>3</v>
      </c>
      <c r="V62" s="1">
        <v>0</v>
      </c>
      <c r="W62" s="1"/>
      <c r="X62" s="1"/>
      <c r="Y62" s="1"/>
      <c r="Z62" s="1"/>
      <c r="AA62" s="1"/>
      <c r="AB62" s="1" t="s">
        <v>3</v>
      </c>
      <c r="AC62" s="1" t="s">
        <v>3</v>
      </c>
      <c r="AD62" s="1" t="s">
        <v>3</v>
      </c>
      <c r="AE62" s="1" t="s">
        <v>3</v>
      </c>
      <c r="AF62" s="1" t="s">
        <v>3</v>
      </c>
      <c r="AG62" s="1" t="s">
        <v>3</v>
      </c>
      <c r="AH62" s="1"/>
      <c r="AI62" s="1"/>
      <c r="AJ62" s="1"/>
      <c r="AK62" s="1"/>
      <c r="AL62" s="1"/>
      <c r="AM62" s="1"/>
      <c r="AN62" s="1"/>
      <c r="AO62" s="1"/>
      <c r="AP62" s="1" t="s">
        <v>3</v>
      </c>
      <c r="AQ62" s="1" t="s">
        <v>3</v>
      </c>
      <c r="AR62" s="1" t="s">
        <v>3</v>
      </c>
      <c r="AS62" s="1"/>
      <c r="AT62" s="1"/>
      <c r="AU62" s="1"/>
      <c r="AV62" s="1"/>
      <c r="AW62" s="1"/>
      <c r="AX62" s="1"/>
      <c r="AY62" s="1"/>
      <c r="AZ62" s="1" t="s">
        <v>3</v>
      </c>
      <c r="BA62" s="1"/>
      <c r="BB62" s="1" t="s">
        <v>3</v>
      </c>
      <c r="BC62" s="1" t="s">
        <v>3</v>
      </c>
      <c r="BD62" s="1" t="s">
        <v>3</v>
      </c>
      <c r="BE62" s="1" t="s">
        <v>3</v>
      </c>
      <c r="BF62" s="1" t="s">
        <v>3</v>
      </c>
      <c r="BG62" s="1" t="s">
        <v>3</v>
      </c>
      <c r="BH62" s="1" t="s">
        <v>3</v>
      </c>
      <c r="BI62" s="1" t="s">
        <v>3</v>
      </c>
      <c r="BJ62" s="1" t="s">
        <v>3</v>
      </c>
      <c r="BK62" s="1" t="s">
        <v>3</v>
      </c>
      <c r="BL62" s="1" t="s">
        <v>3</v>
      </c>
      <c r="BM62" s="1" t="s">
        <v>3</v>
      </c>
      <c r="BN62" s="1" t="s">
        <v>3</v>
      </c>
      <c r="BO62" s="1" t="s">
        <v>3</v>
      </c>
      <c r="BP62" s="1" t="s">
        <v>3</v>
      </c>
      <c r="BQ62" s="1"/>
      <c r="BR62" s="1"/>
      <c r="BS62" s="1"/>
      <c r="BT62" s="1"/>
      <c r="BU62" s="1"/>
      <c r="BV62" s="1"/>
      <c r="BW62" s="1"/>
      <c r="BX62" s="1">
        <v>0</v>
      </c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>
        <v>0</v>
      </c>
    </row>
    <row r="64" spans="1:206" x14ac:dyDescent="0.2">
      <c r="A64" s="2">
        <v>52</v>
      </c>
      <c r="B64" s="2">
        <f t="shared" ref="B64:G64" si="24">B78</f>
        <v>1</v>
      </c>
      <c r="C64" s="2">
        <f t="shared" si="24"/>
        <v>4</v>
      </c>
      <c r="D64" s="2">
        <f t="shared" si="24"/>
        <v>62</v>
      </c>
      <c r="E64" s="2">
        <f t="shared" si="24"/>
        <v>0</v>
      </c>
      <c r="F64" s="2" t="str">
        <f t="shared" si="24"/>
        <v>Новый раздел</v>
      </c>
      <c r="G64" s="2" t="str">
        <f t="shared" si="24"/>
        <v>Монтажные работы</v>
      </c>
      <c r="H64" s="2"/>
      <c r="I64" s="2"/>
      <c r="J64" s="2"/>
      <c r="K64" s="2"/>
      <c r="L64" s="2"/>
      <c r="M64" s="2"/>
      <c r="N64" s="2"/>
      <c r="O64" s="2">
        <f t="shared" ref="O64:AT64" si="25">O78</f>
        <v>127337.69</v>
      </c>
      <c r="P64" s="2">
        <f t="shared" si="25"/>
        <v>3155.49</v>
      </c>
      <c r="Q64" s="2">
        <f t="shared" si="25"/>
        <v>61131.27</v>
      </c>
      <c r="R64" s="2">
        <f t="shared" si="25"/>
        <v>20725.02</v>
      </c>
      <c r="S64" s="2">
        <f t="shared" si="25"/>
        <v>42325.91</v>
      </c>
      <c r="T64" s="2">
        <f t="shared" si="25"/>
        <v>0</v>
      </c>
      <c r="U64" s="2">
        <f t="shared" si="25"/>
        <v>95.775199999999984</v>
      </c>
      <c r="V64" s="2">
        <f t="shared" si="25"/>
        <v>37.326899999999995</v>
      </c>
      <c r="W64" s="2">
        <f t="shared" si="25"/>
        <v>0</v>
      </c>
      <c r="X64" s="2">
        <f t="shared" si="25"/>
        <v>62383.26</v>
      </c>
      <c r="Y64" s="2">
        <f t="shared" si="25"/>
        <v>33991.78</v>
      </c>
      <c r="Z64" s="2">
        <f t="shared" si="25"/>
        <v>0</v>
      </c>
      <c r="AA64" s="2">
        <f t="shared" si="25"/>
        <v>0</v>
      </c>
      <c r="AB64" s="2">
        <f t="shared" si="25"/>
        <v>127337.69</v>
      </c>
      <c r="AC64" s="2">
        <f t="shared" si="25"/>
        <v>3155.49</v>
      </c>
      <c r="AD64" s="2">
        <f t="shared" si="25"/>
        <v>61131.27</v>
      </c>
      <c r="AE64" s="2">
        <f t="shared" si="25"/>
        <v>20725.02</v>
      </c>
      <c r="AF64" s="2">
        <f t="shared" si="25"/>
        <v>42325.91</v>
      </c>
      <c r="AG64" s="2">
        <f t="shared" si="25"/>
        <v>0</v>
      </c>
      <c r="AH64" s="2">
        <f t="shared" si="25"/>
        <v>95.775199999999984</v>
      </c>
      <c r="AI64" s="2">
        <f t="shared" si="25"/>
        <v>37.326899999999995</v>
      </c>
      <c r="AJ64" s="2">
        <f t="shared" si="25"/>
        <v>0</v>
      </c>
      <c r="AK64" s="2">
        <f t="shared" si="25"/>
        <v>62383.26</v>
      </c>
      <c r="AL64" s="2">
        <f t="shared" si="25"/>
        <v>33991.78</v>
      </c>
      <c r="AM64" s="2">
        <f t="shared" si="25"/>
        <v>0</v>
      </c>
      <c r="AN64" s="2">
        <f t="shared" si="25"/>
        <v>0</v>
      </c>
      <c r="AO64" s="2">
        <f t="shared" si="25"/>
        <v>0</v>
      </c>
      <c r="AP64" s="2">
        <f t="shared" si="25"/>
        <v>0</v>
      </c>
      <c r="AQ64" s="2">
        <f t="shared" si="25"/>
        <v>0</v>
      </c>
      <c r="AR64" s="2">
        <f t="shared" si="25"/>
        <v>223712.73</v>
      </c>
      <c r="AS64" s="2">
        <f t="shared" si="25"/>
        <v>59229.32</v>
      </c>
      <c r="AT64" s="2">
        <f t="shared" si="25"/>
        <v>164483.41</v>
      </c>
      <c r="AU64" s="2">
        <f t="shared" ref="AU64:BZ64" si="26">AU78</f>
        <v>0</v>
      </c>
      <c r="AV64" s="2">
        <f t="shared" si="26"/>
        <v>3155.49</v>
      </c>
      <c r="AW64" s="2">
        <f t="shared" si="26"/>
        <v>3155.49</v>
      </c>
      <c r="AX64" s="2">
        <f t="shared" si="26"/>
        <v>0</v>
      </c>
      <c r="AY64" s="2">
        <f t="shared" si="26"/>
        <v>3155.49</v>
      </c>
      <c r="AZ64" s="2">
        <f t="shared" si="26"/>
        <v>0</v>
      </c>
      <c r="BA64" s="2">
        <f t="shared" si="26"/>
        <v>0</v>
      </c>
      <c r="BB64" s="2">
        <f t="shared" si="26"/>
        <v>0</v>
      </c>
      <c r="BC64" s="2">
        <f t="shared" si="26"/>
        <v>0</v>
      </c>
      <c r="BD64" s="2">
        <f t="shared" si="26"/>
        <v>0</v>
      </c>
      <c r="BE64" s="2">
        <f t="shared" si="26"/>
        <v>0</v>
      </c>
      <c r="BF64" s="2">
        <f t="shared" si="26"/>
        <v>0</v>
      </c>
      <c r="BG64" s="2">
        <f t="shared" si="26"/>
        <v>0</v>
      </c>
      <c r="BH64" s="2">
        <f t="shared" si="26"/>
        <v>0</v>
      </c>
      <c r="BI64" s="2">
        <f t="shared" si="26"/>
        <v>0</v>
      </c>
      <c r="BJ64" s="2">
        <f t="shared" si="26"/>
        <v>0</v>
      </c>
      <c r="BK64" s="2">
        <f t="shared" si="26"/>
        <v>0</v>
      </c>
      <c r="BL64" s="2">
        <f t="shared" si="26"/>
        <v>0</v>
      </c>
      <c r="BM64" s="2">
        <f t="shared" si="26"/>
        <v>0</v>
      </c>
      <c r="BN64" s="2">
        <f t="shared" si="26"/>
        <v>0</v>
      </c>
      <c r="BO64" s="2">
        <f t="shared" si="26"/>
        <v>0</v>
      </c>
      <c r="BP64" s="2">
        <f t="shared" si="26"/>
        <v>0</v>
      </c>
      <c r="BQ64" s="2">
        <f t="shared" si="26"/>
        <v>0</v>
      </c>
      <c r="BR64" s="2">
        <f t="shared" si="26"/>
        <v>0</v>
      </c>
      <c r="BS64" s="2">
        <f t="shared" si="26"/>
        <v>0</v>
      </c>
      <c r="BT64" s="2">
        <f t="shared" si="26"/>
        <v>0</v>
      </c>
      <c r="BU64" s="2">
        <f t="shared" si="26"/>
        <v>0</v>
      </c>
      <c r="BV64" s="2">
        <f t="shared" si="26"/>
        <v>0</v>
      </c>
      <c r="BW64" s="2">
        <f t="shared" si="26"/>
        <v>0</v>
      </c>
      <c r="BX64" s="2">
        <f t="shared" si="26"/>
        <v>0</v>
      </c>
      <c r="BY64" s="2">
        <f t="shared" si="26"/>
        <v>0</v>
      </c>
      <c r="BZ64" s="2">
        <f t="shared" si="26"/>
        <v>0</v>
      </c>
      <c r="CA64" s="2">
        <f t="shared" ref="CA64:DF64" si="27">CA78</f>
        <v>223712.73</v>
      </c>
      <c r="CB64" s="2">
        <f t="shared" si="27"/>
        <v>59229.32</v>
      </c>
      <c r="CC64" s="2">
        <f t="shared" si="27"/>
        <v>164483.41</v>
      </c>
      <c r="CD64" s="2">
        <f t="shared" si="27"/>
        <v>0</v>
      </c>
      <c r="CE64" s="2">
        <f t="shared" si="27"/>
        <v>3155.49</v>
      </c>
      <c r="CF64" s="2">
        <f t="shared" si="27"/>
        <v>3155.49</v>
      </c>
      <c r="CG64" s="2">
        <f t="shared" si="27"/>
        <v>0</v>
      </c>
      <c r="CH64" s="2">
        <f t="shared" si="27"/>
        <v>3155.49</v>
      </c>
      <c r="CI64" s="2">
        <f t="shared" si="27"/>
        <v>0</v>
      </c>
      <c r="CJ64" s="2">
        <f t="shared" si="27"/>
        <v>0</v>
      </c>
      <c r="CK64" s="2">
        <f t="shared" si="27"/>
        <v>0</v>
      </c>
      <c r="CL64" s="2">
        <f t="shared" si="27"/>
        <v>0</v>
      </c>
      <c r="CM64" s="2">
        <f t="shared" si="27"/>
        <v>0</v>
      </c>
      <c r="CN64" s="2">
        <f t="shared" si="27"/>
        <v>0</v>
      </c>
      <c r="CO64" s="2">
        <f t="shared" si="27"/>
        <v>0</v>
      </c>
      <c r="CP64" s="2">
        <f t="shared" si="27"/>
        <v>0</v>
      </c>
      <c r="CQ64" s="2">
        <f t="shared" si="27"/>
        <v>0</v>
      </c>
      <c r="CR64" s="2">
        <f t="shared" si="27"/>
        <v>0</v>
      </c>
      <c r="CS64" s="2">
        <f t="shared" si="27"/>
        <v>0</v>
      </c>
      <c r="CT64" s="2">
        <f t="shared" si="27"/>
        <v>0</v>
      </c>
      <c r="CU64" s="2">
        <f t="shared" si="27"/>
        <v>0</v>
      </c>
      <c r="CV64" s="2">
        <f t="shared" si="27"/>
        <v>0</v>
      </c>
      <c r="CW64" s="2">
        <f t="shared" si="27"/>
        <v>0</v>
      </c>
      <c r="CX64" s="2">
        <f t="shared" si="27"/>
        <v>0</v>
      </c>
      <c r="CY64" s="2">
        <f t="shared" si="27"/>
        <v>0</v>
      </c>
      <c r="CZ64" s="2">
        <f t="shared" si="27"/>
        <v>0</v>
      </c>
      <c r="DA64" s="2">
        <f t="shared" si="27"/>
        <v>0</v>
      </c>
      <c r="DB64" s="2">
        <f t="shared" si="27"/>
        <v>0</v>
      </c>
      <c r="DC64" s="2">
        <f t="shared" si="27"/>
        <v>0</v>
      </c>
      <c r="DD64" s="2">
        <f t="shared" si="27"/>
        <v>0</v>
      </c>
      <c r="DE64" s="2">
        <f t="shared" si="27"/>
        <v>0</v>
      </c>
      <c r="DF64" s="2">
        <f t="shared" si="27"/>
        <v>0</v>
      </c>
      <c r="DG64" s="3">
        <f t="shared" ref="DG64:EL64" si="28">DG78</f>
        <v>0</v>
      </c>
      <c r="DH64" s="3">
        <f t="shared" si="28"/>
        <v>0</v>
      </c>
      <c r="DI64" s="3">
        <f t="shared" si="28"/>
        <v>0</v>
      </c>
      <c r="DJ64" s="3">
        <f t="shared" si="28"/>
        <v>0</v>
      </c>
      <c r="DK64" s="3">
        <f t="shared" si="28"/>
        <v>0</v>
      </c>
      <c r="DL64" s="3">
        <f t="shared" si="28"/>
        <v>0</v>
      </c>
      <c r="DM64" s="3">
        <f t="shared" si="28"/>
        <v>0</v>
      </c>
      <c r="DN64" s="3">
        <f t="shared" si="28"/>
        <v>0</v>
      </c>
      <c r="DO64" s="3">
        <f t="shared" si="28"/>
        <v>0</v>
      </c>
      <c r="DP64" s="3">
        <f t="shared" si="28"/>
        <v>0</v>
      </c>
      <c r="DQ64" s="3">
        <f t="shared" si="28"/>
        <v>0</v>
      </c>
      <c r="DR64" s="3">
        <f t="shared" si="28"/>
        <v>0</v>
      </c>
      <c r="DS64" s="3">
        <f t="shared" si="28"/>
        <v>0</v>
      </c>
      <c r="DT64" s="3">
        <f t="shared" si="28"/>
        <v>0</v>
      </c>
      <c r="DU64" s="3">
        <f t="shared" si="28"/>
        <v>0</v>
      </c>
      <c r="DV64" s="3">
        <f t="shared" si="28"/>
        <v>0</v>
      </c>
      <c r="DW64" s="3">
        <f t="shared" si="28"/>
        <v>0</v>
      </c>
      <c r="DX64" s="3">
        <f t="shared" si="28"/>
        <v>0</v>
      </c>
      <c r="DY64" s="3">
        <f t="shared" si="28"/>
        <v>0</v>
      </c>
      <c r="DZ64" s="3">
        <f t="shared" si="28"/>
        <v>0</v>
      </c>
      <c r="EA64" s="3">
        <f t="shared" si="28"/>
        <v>0</v>
      </c>
      <c r="EB64" s="3">
        <f t="shared" si="28"/>
        <v>0</v>
      </c>
      <c r="EC64" s="3">
        <f t="shared" si="28"/>
        <v>0</v>
      </c>
      <c r="ED64" s="3">
        <f t="shared" si="28"/>
        <v>0</v>
      </c>
      <c r="EE64" s="3">
        <f t="shared" si="28"/>
        <v>0</v>
      </c>
      <c r="EF64" s="3">
        <f t="shared" si="28"/>
        <v>0</v>
      </c>
      <c r="EG64" s="3">
        <f t="shared" si="28"/>
        <v>0</v>
      </c>
      <c r="EH64" s="3">
        <f t="shared" si="28"/>
        <v>0</v>
      </c>
      <c r="EI64" s="3">
        <f t="shared" si="28"/>
        <v>0</v>
      </c>
      <c r="EJ64" s="3">
        <f t="shared" si="28"/>
        <v>0</v>
      </c>
      <c r="EK64" s="3">
        <f t="shared" si="28"/>
        <v>0</v>
      </c>
      <c r="EL64" s="3">
        <f t="shared" si="28"/>
        <v>0</v>
      </c>
      <c r="EM64" s="3">
        <f t="shared" ref="EM64:FR64" si="29">EM78</f>
        <v>0</v>
      </c>
      <c r="EN64" s="3">
        <f t="shared" si="29"/>
        <v>0</v>
      </c>
      <c r="EO64" s="3">
        <f t="shared" si="29"/>
        <v>0</v>
      </c>
      <c r="EP64" s="3">
        <f t="shared" si="29"/>
        <v>0</v>
      </c>
      <c r="EQ64" s="3">
        <f t="shared" si="29"/>
        <v>0</v>
      </c>
      <c r="ER64" s="3">
        <f t="shared" si="29"/>
        <v>0</v>
      </c>
      <c r="ES64" s="3">
        <f t="shared" si="29"/>
        <v>0</v>
      </c>
      <c r="ET64" s="3">
        <f t="shared" si="29"/>
        <v>0</v>
      </c>
      <c r="EU64" s="3">
        <f t="shared" si="29"/>
        <v>0</v>
      </c>
      <c r="EV64" s="3">
        <f t="shared" si="29"/>
        <v>0</v>
      </c>
      <c r="EW64" s="3">
        <f t="shared" si="29"/>
        <v>0</v>
      </c>
      <c r="EX64" s="3">
        <f t="shared" si="29"/>
        <v>0</v>
      </c>
      <c r="EY64" s="3">
        <f t="shared" si="29"/>
        <v>0</v>
      </c>
      <c r="EZ64" s="3">
        <f t="shared" si="29"/>
        <v>0</v>
      </c>
      <c r="FA64" s="3">
        <f t="shared" si="29"/>
        <v>0</v>
      </c>
      <c r="FB64" s="3">
        <f t="shared" si="29"/>
        <v>0</v>
      </c>
      <c r="FC64" s="3">
        <f t="shared" si="29"/>
        <v>0</v>
      </c>
      <c r="FD64" s="3">
        <f t="shared" si="29"/>
        <v>0</v>
      </c>
      <c r="FE64" s="3">
        <f t="shared" si="29"/>
        <v>0</v>
      </c>
      <c r="FF64" s="3">
        <f t="shared" si="29"/>
        <v>0</v>
      </c>
      <c r="FG64" s="3">
        <f t="shared" si="29"/>
        <v>0</v>
      </c>
      <c r="FH64" s="3">
        <f t="shared" si="29"/>
        <v>0</v>
      </c>
      <c r="FI64" s="3">
        <f t="shared" si="29"/>
        <v>0</v>
      </c>
      <c r="FJ64" s="3">
        <f t="shared" si="29"/>
        <v>0</v>
      </c>
      <c r="FK64" s="3">
        <f t="shared" si="29"/>
        <v>0</v>
      </c>
      <c r="FL64" s="3">
        <f t="shared" si="29"/>
        <v>0</v>
      </c>
      <c r="FM64" s="3">
        <f t="shared" si="29"/>
        <v>0</v>
      </c>
      <c r="FN64" s="3">
        <f t="shared" si="29"/>
        <v>0</v>
      </c>
      <c r="FO64" s="3">
        <f t="shared" si="29"/>
        <v>0</v>
      </c>
      <c r="FP64" s="3">
        <f t="shared" si="29"/>
        <v>0</v>
      </c>
      <c r="FQ64" s="3">
        <f t="shared" si="29"/>
        <v>0</v>
      </c>
      <c r="FR64" s="3">
        <f t="shared" si="29"/>
        <v>0</v>
      </c>
      <c r="FS64" s="3">
        <f t="shared" ref="FS64:GX64" si="30">FS78</f>
        <v>0</v>
      </c>
      <c r="FT64" s="3">
        <f t="shared" si="30"/>
        <v>0</v>
      </c>
      <c r="FU64" s="3">
        <f t="shared" si="30"/>
        <v>0</v>
      </c>
      <c r="FV64" s="3">
        <f t="shared" si="30"/>
        <v>0</v>
      </c>
      <c r="FW64" s="3">
        <f t="shared" si="30"/>
        <v>0</v>
      </c>
      <c r="FX64" s="3">
        <f t="shared" si="30"/>
        <v>0</v>
      </c>
      <c r="FY64" s="3">
        <f t="shared" si="30"/>
        <v>0</v>
      </c>
      <c r="FZ64" s="3">
        <f t="shared" si="30"/>
        <v>0</v>
      </c>
      <c r="GA64" s="3">
        <f t="shared" si="30"/>
        <v>0</v>
      </c>
      <c r="GB64" s="3">
        <f t="shared" si="30"/>
        <v>0</v>
      </c>
      <c r="GC64" s="3">
        <f t="shared" si="30"/>
        <v>0</v>
      </c>
      <c r="GD64" s="3">
        <f t="shared" si="30"/>
        <v>0</v>
      </c>
      <c r="GE64" s="3">
        <f t="shared" si="30"/>
        <v>0</v>
      </c>
      <c r="GF64" s="3">
        <f t="shared" si="30"/>
        <v>0</v>
      </c>
      <c r="GG64" s="3">
        <f t="shared" si="30"/>
        <v>0</v>
      </c>
      <c r="GH64" s="3">
        <f t="shared" si="30"/>
        <v>0</v>
      </c>
      <c r="GI64" s="3">
        <f t="shared" si="30"/>
        <v>0</v>
      </c>
      <c r="GJ64" s="3">
        <f t="shared" si="30"/>
        <v>0</v>
      </c>
      <c r="GK64" s="3">
        <f t="shared" si="30"/>
        <v>0</v>
      </c>
      <c r="GL64" s="3">
        <f t="shared" si="30"/>
        <v>0</v>
      </c>
      <c r="GM64" s="3">
        <f t="shared" si="30"/>
        <v>0</v>
      </c>
      <c r="GN64" s="3">
        <f t="shared" si="30"/>
        <v>0</v>
      </c>
      <c r="GO64" s="3">
        <f t="shared" si="30"/>
        <v>0</v>
      </c>
      <c r="GP64" s="3">
        <f t="shared" si="30"/>
        <v>0</v>
      </c>
      <c r="GQ64" s="3">
        <f t="shared" si="30"/>
        <v>0</v>
      </c>
      <c r="GR64" s="3">
        <f t="shared" si="30"/>
        <v>0</v>
      </c>
      <c r="GS64" s="3">
        <f t="shared" si="30"/>
        <v>0</v>
      </c>
      <c r="GT64" s="3">
        <f t="shared" si="30"/>
        <v>0</v>
      </c>
      <c r="GU64" s="3">
        <f t="shared" si="30"/>
        <v>0</v>
      </c>
      <c r="GV64" s="3">
        <f t="shared" si="30"/>
        <v>0</v>
      </c>
      <c r="GW64" s="3">
        <f t="shared" si="30"/>
        <v>0</v>
      </c>
      <c r="GX64" s="3">
        <f t="shared" si="30"/>
        <v>0</v>
      </c>
    </row>
    <row r="66" spans="1:245" x14ac:dyDescent="0.2">
      <c r="A66">
        <v>17</v>
      </c>
      <c r="B66">
        <v>1</v>
      </c>
      <c r="C66">
        <f>ROW(SmtRes!A38)</f>
        <v>38</v>
      </c>
      <c r="D66">
        <f>ROW(EtalonRes!A38)</f>
        <v>38</v>
      </c>
      <c r="E66" t="s">
        <v>106</v>
      </c>
      <c r="F66" t="s">
        <v>21</v>
      </c>
      <c r="G66" t="s">
        <v>107</v>
      </c>
      <c r="H66" t="s">
        <v>23</v>
      </c>
      <c r="I66">
        <f>ROUND(210/1000,7)</f>
        <v>0.21</v>
      </c>
      <c r="J66">
        <v>0</v>
      </c>
      <c r="K66">
        <f>ROUND(210/1000,7)</f>
        <v>0.21</v>
      </c>
      <c r="O66">
        <f t="shared" ref="O66:O76" si="31">ROUND(CP66,2)</f>
        <v>13313.15</v>
      </c>
      <c r="P66">
        <f>SUMIF(SmtRes!AQ26:'SmtRes'!AQ38,"=1",SmtRes!DF26:'SmtRes'!DF38)</f>
        <v>0</v>
      </c>
      <c r="Q66">
        <f>SUMIF(SmtRes!AQ26:'SmtRes'!AQ38,"=1",SmtRes!DG26:'SmtRes'!DG38)</f>
        <v>2501.08</v>
      </c>
      <c r="R66">
        <f>SUMIF(SmtRes!AQ26:'SmtRes'!AQ38,"=1",SmtRes!DH26:'SmtRes'!DH38)</f>
        <v>2298.65</v>
      </c>
      <c r="S66">
        <f>SUMIF(SmtRes!AQ26:'SmtRes'!AQ38,"=1",SmtRes!DI26:'SmtRes'!DI38)</f>
        <v>8513.42</v>
      </c>
      <c r="T66">
        <f t="shared" ref="T66:T76" si="32">ROUND(CU66*I66,2)</f>
        <v>0</v>
      </c>
      <c r="U66">
        <f>SUMIF(SmtRes!AQ26:'SmtRes'!AQ38,"=1",SmtRes!CV26:'SmtRes'!CV38)</f>
        <v>19.975199999999997</v>
      </c>
      <c r="V66">
        <f>SUMIF(SmtRes!AQ26:'SmtRes'!AQ38,"=1",SmtRes!CW26:'SmtRes'!CW38)</f>
        <v>5.2268999999999997</v>
      </c>
      <c r="W66">
        <f t="shared" ref="W66:W76" si="33">ROUND(CX66*I66,2)</f>
        <v>0</v>
      </c>
      <c r="X66">
        <f t="shared" ref="X66:X76" si="34">ROUND(CY66,2)</f>
        <v>11136.43</v>
      </c>
      <c r="Y66">
        <f t="shared" ref="Y66:Y76" si="35">ROUND(CZ66,2)</f>
        <v>6487.24</v>
      </c>
      <c r="AA66">
        <v>61635504</v>
      </c>
      <c r="AB66">
        <f t="shared" ref="AB66:AB76" si="36">ROUND((AC66+AD66+AF66),6)</f>
        <v>49952.170100000003</v>
      </c>
      <c r="AC66">
        <f>ROUND((0),6)</f>
        <v>0</v>
      </c>
      <c r="AD66">
        <f>ROUND((((SUM(SmtRes!BR26:'SmtRes'!BR38))-(SUM(SmtRes!BS26:'SmtRes'!BS38)))+AE66),6)</f>
        <v>9412.0570000000007</v>
      </c>
      <c r="AE66">
        <f>ROUND((SUM(SmtRes!BS26:'SmtRes'!BS38)),6)</f>
        <v>10945.935299999999</v>
      </c>
      <c r="AF66">
        <f>ROUND((SUM(SmtRes!BT26:'SmtRes'!BT38)),6)</f>
        <v>40540.113100000002</v>
      </c>
      <c r="AG66">
        <f t="shared" ref="AG66:AG76" si="37">ROUND((AP66),6)</f>
        <v>0</v>
      </c>
      <c r="AH66">
        <f>(SUM(SmtRes!BU26:'SmtRes'!BU38))</f>
        <v>95.12</v>
      </c>
      <c r="AI66">
        <f>(SUM(SmtRes!BV26:'SmtRes'!BV38))</f>
        <v>24.889999999999997</v>
      </c>
      <c r="AJ66">
        <f t="shared" ref="AJ66:AJ76" si="38">(AS66)</f>
        <v>0</v>
      </c>
      <c r="AK66">
        <v>60898.1054</v>
      </c>
      <c r="AL66">
        <v>0</v>
      </c>
      <c r="AM66">
        <v>9412.0569999999989</v>
      </c>
      <c r="AN66">
        <v>10945.935299999999</v>
      </c>
      <c r="AO66">
        <v>40540.113100000002</v>
      </c>
      <c r="AP66">
        <v>0</v>
      </c>
      <c r="AQ66">
        <v>95.12</v>
      </c>
      <c r="AR66">
        <v>24.889999999999997</v>
      </c>
      <c r="AS66">
        <v>0</v>
      </c>
      <c r="AT66">
        <v>103</v>
      </c>
      <c r="AU66">
        <v>60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1</v>
      </c>
      <c r="BJ66" t="s">
        <v>24</v>
      </c>
      <c r="BM66">
        <v>33001</v>
      </c>
      <c r="BN66">
        <v>0</v>
      </c>
      <c r="BO66" t="s">
        <v>3</v>
      </c>
      <c r="BP66">
        <v>0</v>
      </c>
      <c r="BQ66">
        <v>2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103</v>
      </c>
      <c r="CA66">
        <v>60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ref="CP66:CP76" si="39">(P66+Q66+S66+R66)</f>
        <v>13313.15</v>
      </c>
      <c r="CQ66">
        <f>SUMIF(SmtRes!AQ26:'SmtRes'!AQ38,"=1",SmtRes!AA26:'SmtRes'!AA38)</f>
        <v>0</v>
      </c>
      <c r="CR66">
        <f>SUMIF(SmtRes!AQ26:'SmtRes'!AQ38,"=1",SmtRes!AB26:'SmtRes'!AB38)</f>
        <v>2668.66</v>
      </c>
      <c r="CS66">
        <f>SUMIF(SmtRes!AQ26:'SmtRes'!AQ38,"=1",SmtRes!AC26:'SmtRes'!AC38)</f>
        <v>1890.5</v>
      </c>
      <c r="CT66">
        <f>SUMIF(SmtRes!AQ26:'SmtRes'!AQ38,"=1",SmtRes!AD26:'SmtRes'!AD38)</f>
        <v>1676.1200000000001</v>
      </c>
      <c r="CU66">
        <f t="shared" ref="CU66:CU76" si="40">AG66</f>
        <v>0</v>
      </c>
      <c r="CV66">
        <f>SUMIF(SmtRes!AQ26:'SmtRes'!AQ38,"=1",SmtRes!BU26:'SmtRes'!BU38)</f>
        <v>95.12</v>
      </c>
      <c r="CW66">
        <f>SUMIF(SmtRes!AQ26:'SmtRes'!AQ38,"=1",SmtRes!BV26:'SmtRes'!BV38)</f>
        <v>24.889999999999997</v>
      </c>
      <c r="CX66">
        <f t="shared" ref="CX66:CX76" si="41">AJ66</f>
        <v>0</v>
      </c>
      <c r="CY66">
        <f t="shared" ref="CY66:CY76" si="42">(((S66+R66)*AT66)/100)</f>
        <v>11136.4321</v>
      </c>
      <c r="CZ66">
        <f t="shared" ref="CZ66:CZ76" si="43">(((S66+R66)*AU66)/100)</f>
        <v>6487.2419999999993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23</v>
      </c>
      <c r="DW66" t="s">
        <v>28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60393367</v>
      </c>
      <c r="EF66">
        <v>2</v>
      </c>
      <c r="EG66" t="s">
        <v>29</v>
      </c>
      <c r="EH66">
        <v>27</v>
      </c>
      <c r="EI66" t="s">
        <v>30</v>
      </c>
      <c r="EJ66">
        <v>1</v>
      </c>
      <c r="EK66">
        <v>33001</v>
      </c>
      <c r="EL66" t="s">
        <v>30</v>
      </c>
      <c r="EM66" t="s">
        <v>31</v>
      </c>
      <c r="EO66" t="s">
        <v>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95.12</v>
      </c>
      <c r="EX66">
        <v>24.89</v>
      </c>
      <c r="EY66">
        <v>0</v>
      </c>
      <c r="FQ66">
        <v>0</v>
      </c>
      <c r="FR66">
        <f t="shared" ref="FR66:FR76" si="44">ROUND(IF(BI66=3,GM66,0),2)</f>
        <v>0</v>
      </c>
      <c r="FS66">
        <v>0</v>
      </c>
      <c r="FX66">
        <v>103</v>
      </c>
      <c r="FY66">
        <v>60</v>
      </c>
      <c r="GA66" t="s">
        <v>3</v>
      </c>
      <c r="GD66">
        <v>1</v>
      </c>
      <c r="GF66">
        <v>140858264</v>
      </c>
      <c r="GG66">
        <v>2</v>
      </c>
      <c r="GH66">
        <v>1</v>
      </c>
      <c r="GI66">
        <v>-2</v>
      </c>
      <c r="GJ66">
        <v>0</v>
      </c>
      <c r="GK66">
        <v>0</v>
      </c>
      <c r="GL66">
        <f t="shared" ref="GL66:GL76" si="45">ROUND(IF(AND(BH66=3,BI66=3,FS66&lt;&gt;0),P66,0),2)</f>
        <v>0</v>
      </c>
      <c r="GM66">
        <f t="shared" ref="GM66:GM76" si="46">ROUND(O66+X66+Y66,2)+GX66</f>
        <v>30936.82</v>
      </c>
      <c r="GN66">
        <f t="shared" ref="GN66:GN76" si="47">IF(OR(BI66=0,BI66=1),GM66-GX66,0)</f>
        <v>30936.82</v>
      </c>
      <c r="GO66">
        <f t="shared" ref="GO66:GO76" si="48">IF(BI66=2,GM66-GX66,0)</f>
        <v>0</v>
      </c>
      <c r="GP66">
        <f t="shared" ref="GP66:GP76" si="49">IF(BI66=4,GM66-GX66,0)</f>
        <v>0</v>
      </c>
      <c r="GR66">
        <v>0</v>
      </c>
      <c r="GS66">
        <v>3</v>
      </c>
      <c r="GT66">
        <v>0</v>
      </c>
      <c r="GU66" t="s">
        <v>3</v>
      </c>
      <c r="GV66">
        <f t="shared" ref="GV66:GV76" si="50">ROUND((GT66),6)</f>
        <v>0</v>
      </c>
      <c r="GW66">
        <v>1</v>
      </c>
      <c r="GX66">
        <f t="shared" ref="GX66:GX76" si="51">ROUND(HC66*I66,2)</f>
        <v>0</v>
      </c>
      <c r="HA66">
        <v>0</v>
      </c>
      <c r="HB66">
        <v>0</v>
      </c>
      <c r="HC66">
        <f t="shared" ref="HC66:HC76" si="52">GV66*GW66</f>
        <v>0</v>
      </c>
      <c r="HE66" t="s">
        <v>3</v>
      </c>
      <c r="HF66" t="s">
        <v>3</v>
      </c>
      <c r="HM66" t="s">
        <v>3</v>
      </c>
      <c r="HN66" t="s">
        <v>33</v>
      </c>
      <c r="HO66" t="s">
        <v>34</v>
      </c>
      <c r="HP66" t="s">
        <v>30</v>
      </c>
      <c r="HQ66" t="s">
        <v>30</v>
      </c>
      <c r="IK66">
        <v>0</v>
      </c>
    </row>
    <row r="67" spans="1:245" x14ac:dyDescent="0.2">
      <c r="A67">
        <v>17</v>
      </c>
      <c r="B67">
        <v>1</v>
      </c>
      <c r="C67">
        <f>ROW(SmtRes!A47)</f>
        <v>47</v>
      </c>
      <c r="D67">
        <f>ROW(EtalonRes!A47)</f>
        <v>47</v>
      </c>
      <c r="E67" t="s">
        <v>108</v>
      </c>
      <c r="F67" t="s">
        <v>109</v>
      </c>
      <c r="G67" t="s">
        <v>110</v>
      </c>
      <c r="H67" t="s">
        <v>111</v>
      </c>
      <c r="I67">
        <v>0</v>
      </c>
      <c r="J67">
        <v>0</v>
      </c>
      <c r="K67">
        <v>0</v>
      </c>
      <c r="O67">
        <f t="shared" si="31"/>
        <v>0</v>
      </c>
      <c r="P67">
        <f>SUMIF(SmtRes!AQ39:'SmtRes'!AQ47,"=1",SmtRes!DF39:'SmtRes'!DF47)</f>
        <v>0</v>
      </c>
      <c r="Q67">
        <f>SUMIF(SmtRes!AQ39:'SmtRes'!AQ47,"=1",SmtRes!DG39:'SmtRes'!DG47)</f>
        <v>0</v>
      </c>
      <c r="R67">
        <f>SUMIF(SmtRes!AQ39:'SmtRes'!AQ47,"=1",SmtRes!DH39:'SmtRes'!DH47)</f>
        <v>0</v>
      </c>
      <c r="S67">
        <f>SUMIF(SmtRes!AQ39:'SmtRes'!AQ47,"=1",SmtRes!DI39:'SmtRes'!DI47)</f>
        <v>0</v>
      </c>
      <c r="T67">
        <f t="shared" si="32"/>
        <v>0</v>
      </c>
      <c r="U67">
        <f>SUMIF(SmtRes!AQ39:'SmtRes'!AQ47,"=1",SmtRes!CV39:'SmtRes'!CV47)</f>
        <v>0</v>
      </c>
      <c r="V67">
        <f>SUMIF(SmtRes!AQ39:'SmtRes'!AQ47,"=1",SmtRes!CW39:'SmtRes'!CW47)</f>
        <v>0</v>
      </c>
      <c r="W67">
        <f t="shared" si="33"/>
        <v>0</v>
      </c>
      <c r="X67">
        <f t="shared" si="34"/>
        <v>0</v>
      </c>
      <c r="Y67">
        <f t="shared" si="35"/>
        <v>0</v>
      </c>
      <c r="AA67">
        <v>61635504</v>
      </c>
      <c r="AB67">
        <f t="shared" si="36"/>
        <v>14288.29182</v>
      </c>
      <c r="AC67">
        <f>ROUND((SUM(SmtRes!BQ39:'SmtRes'!BQ47)),6)</f>
        <v>243.64681999999999</v>
      </c>
      <c r="AD67">
        <f>ROUND((((SUM(SmtRes!BR39:'SmtRes'!BR47))-(SUM(SmtRes!BS39:'SmtRes'!BS47)))+AE67),6)</f>
        <v>734.06659999999999</v>
      </c>
      <c r="AE67">
        <f>ROUND((SUM(SmtRes!BS39:'SmtRes'!BS47)),6)</f>
        <v>356.98599999999999</v>
      </c>
      <c r="AF67">
        <f>ROUND((SUM(SmtRes!BT39:'SmtRes'!BT47)),6)</f>
        <v>13310.5784</v>
      </c>
      <c r="AG67">
        <f t="shared" si="37"/>
        <v>0</v>
      </c>
      <c r="AH67">
        <f>(SUM(SmtRes!BU39:'SmtRes'!BU47))</f>
        <v>31.28</v>
      </c>
      <c r="AI67">
        <f>(SUM(SmtRes!BV39:'SmtRes'!BV47))</f>
        <v>0.7</v>
      </c>
      <c r="AJ67">
        <f t="shared" si="38"/>
        <v>0</v>
      </c>
      <c r="AK67">
        <v>14645.277820000001</v>
      </c>
      <c r="AL67">
        <v>243.64681999999999</v>
      </c>
      <c r="AM67">
        <v>734.06659999999999</v>
      </c>
      <c r="AN67">
        <v>356.98599999999999</v>
      </c>
      <c r="AO67">
        <v>13310.5784</v>
      </c>
      <c r="AP67">
        <v>0</v>
      </c>
      <c r="AQ67">
        <v>31.28</v>
      </c>
      <c r="AR67">
        <v>0.7</v>
      </c>
      <c r="AS67">
        <v>0</v>
      </c>
      <c r="AT67">
        <v>97</v>
      </c>
      <c r="AU67">
        <v>51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2</v>
      </c>
      <c r="BJ67" t="s">
        <v>112</v>
      </c>
      <c r="BM67">
        <v>108001</v>
      </c>
      <c r="BN67">
        <v>0</v>
      </c>
      <c r="BO67" t="s">
        <v>3</v>
      </c>
      <c r="BP67">
        <v>0</v>
      </c>
      <c r="BQ67">
        <v>3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97</v>
      </c>
      <c r="CA67">
        <v>51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39"/>
        <v>0</v>
      </c>
      <c r="CQ67">
        <f>SUMIF(SmtRes!AQ39:'SmtRes'!AQ47,"=1",SmtRes!AA39:'SmtRes'!AA47)</f>
        <v>366.14</v>
      </c>
      <c r="CR67">
        <f>SUMIF(SmtRes!AQ39:'SmtRes'!AQ47,"=1",SmtRes!AB39:'SmtRes'!AB47)</f>
        <v>2054.4</v>
      </c>
      <c r="CS67">
        <f>SUMIF(SmtRes!AQ39:'SmtRes'!AQ47,"=1",SmtRes!AC39:'SmtRes'!AC47)</f>
        <v>1019.96</v>
      </c>
      <c r="CT67">
        <f>SUMIF(SmtRes!AQ39:'SmtRes'!AQ47,"=1",SmtRes!AD39:'SmtRes'!AD47)</f>
        <v>425.53</v>
      </c>
      <c r="CU67">
        <f t="shared" si="40"/>
        <v>0</v>
      </c>
      <c r="CV67">
        <f>SUMIF(SmtRes!AQ39:'SmtRes'!AQ47,"=1",SmtRes!BU39:'SmtRes'!BU47)</f>
        <v>31.28</v>
      </c>
      <c r="CW67">
        <f>SUMIF(SmtRes!AQ39:'SmtRes'!AQ47,"=1",SmtRes!BV39:'SmtRes'!BV47)</f>
        <v>0.7</v>
      </c>
      <c r="CX67">
        <f t="shared" si="41"/>
        <v>0</v>
      </c>
      <c r="CY67">
        <f t="shared" si="42"/>
        <v>0</v>
      </c>
      <c r="CZ67">
        <f t="shared" si="43"/>
        <v>0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1003</v>
      </c>
      <c r="DV67" t="s">
        <v>111</v>
      </c>
      <c r="DW67" t="s">
        <v>111</v>
      </c>
      <c r="DX67">
        <v>100</v>
      </c>
      <c r="DZ67" t="s">
        <v>3</v>
      </c>
      <c r="EA67" t="s">
        <v>3</v>
      </c>
      <c r="EB67" t="s">
        <v>3</v>
      </c>
      <c r="EC67" t="s">
        <v>3</v>
      </c>
      <c r="EE67">
        <v>60393196</v>
      </c>
      <c r="EF67">
        <v>3</v>
      </c>
      <c r="EG67" t="s">
        <v>41</v>
      </c>
      <c r="EH67">
        <v>0</v>
      </c>
      <c r="EI67" t="s">
        <v>3</v>
      </c>
      <c r="EJ67">
        <v>2</v>
      </c>
      <c r="EK67">
        <v>108001</v>
      </c>
      <c r="EL67" t="s">
        <v>42</v>
      </c>
      <c r="EM67" t="s">
        <v>43</v>
      </c>
      <c r="EO67" t="s">
        <v>3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31.28</v>
      </c>
      <c r="EX67">
        <v>0.7</v>
      </c>
      <c r="EY67">
        <v>0</v>
      </c>
      <c r="FQ67">
        <v>0</v>
      </c>
      <c r="FR67">
        <f t="shared" si="44"/>
        <v>0</v>
      </c>
      <c r="FS67">
        <v>0</v>
      </c>
      <c r="FX67">
        <v>97</v>
      </c>
      <c r="FY67">
        <v>51</v>
      </c>
      <c r="GA67" t="s">
        <v>3</v>
      </c>
      <c r="GD67">
        <v>1</v>
      </c>
      <c r="GF67">
        <v>1690255246</v>
      </c>
      <c r="GG67">
        <v>2</v>
      </c>
      <c r="GH67">
        <v>1</v>
      </c>
      <c r="GI67">
        <v>-2</v>
      </c>
      <c r="GJ67">
        <v>0</v>
      </c>
      <c r="GK67">
        <v>0</v>
      </c>
      <c r="GL67">
        <f t="shared" si="45"/>
        <v>0</v>
      </c>
      <c r="GM67">
        <f t="shared" si="46"/>
        <v>0</v>
      </c>
      <c r="GN67">
        <f t="shared" si="47"/>
        <v>0</v>
      </c>
      <c r="GO67">
        <f t="shared" si="48"/>
        <v>0</v>
      </c>
      <c r="GP67">
        <f t="shared" si="49"/>
        <v>0</v>
      </c>
      <c r="GR67">
        <v>0</v>
      </c>
      <c r="GS67">
        <v>0</v>
      </c>
      <c r="GT67">
        <v>0</v>
      </c>
      <c r="GU67" t="s">
        <v>3</v>
      </c>
      <c r="GV67">
        <f t="shared" si="50"/>
        <v>0</v>
      </c>
      <c r="GW67">
        <v>1</v>
      </c>
      <c r="GX67">
        <f t="shared" si="51"/>
        <v>0</v>
      </c>
      <c r="HA67">
        <v>0</v>
      </c>
      <c r="HB67">
        <v>0</v>
      </c>
      <c r="HC67">
        <f t="shared" si="52"/>
        <v>0</v>
      </c>
      <c r="HE67" t="s">
        <v>3</v>
      </c>
      <c r="HF67" t="s">
        <v>3</v>
      </c>
      <c r="HM67" t="s">
        <v>3</v>
      </c>
      <c r="HN67" t="s">
        <v>45</v>
      </c>
      <c r="HO67" t="s">
        <v>46</v>
      </c>
      <c r="HP67" t="s">
        <v>42</v>
      </c>
      <c r="HQ67" t="s">
        <v>42</v>
      </c>
      <c r="IK67">
        <v>0</v>
      </c>
    </row>
    <row r="68" spans="1:245" x14ac:dyDescent="0.2">
      <c r="A68">
        <v>17</v>
      </c>
      <c r="B68">
        <v>1</v>
      </c>
      <c r="C68">
        <f>ROW(SmtRes!A57)</f>
        <v>57</v>
      </c>
      <c r="D68">
        <f>ROW(EtalonRes!A57)</f>
        <v>57</v>
      </c>
      <c r="E68" t="s">
        <v>113</v>
      </c>
      <c r="F68" t="s">
        <v>114</v>
      </c>
      <c r="G68" t="s">
        <v>115</v>
      </c>
      <c r="H68" t="s">
        <v>111</v>
      </c>
      <c r="I68">
        <v>0</v>
      </c>
      <c r="J68">
        <v>0</v>
      </c>
      <c r="K68">
        <v>0</v>
      </c>
      <c r="O68">
        <f t="shared" si="31"/>
        <v>0</v>
      </c>
      <c r="P68">
        <f>SUMIF(SmtRes!AQ48:'SmtRes'!AQ57,"=1",SmtRes!DF48:'SmtRes'!DF57)</f>
        <v>0</v>
      </c>
      <c r="Q68">
        <f>SUMIF(SmtRes!AQ48:'SmtRes'!AQ57,"=1",SmtRes!DG48:'SmtRes'!DG57)</f>
        <v>0</v>
      </c>
      <c r="R68">
        <f>SUMIF(SmtRes!AQ48:'SmtRes'!AQ57,"=1",SmtRes!DH48:'SmtRes'!DH57)</f>
        <v>0</v>
      </c>
      <c r="S68">
        <f>SUMIF(SmtRes!AQ48:'SmtRes'!AQ57,"=1",SmtRes!DI48:'SmtRes'!DI57)</f>
        <v>0</v>
      </c>
      <c r="T68">
        <f t="shared" si="32"/>
        <v>0</v>
      </c>
      <c r="U68">
        <f>SUMIF(SmtRes!AQ48:'SmtRes'!AQ57,"=1",SmtRes!CV48:'SmtRes'!CV57)</f>
        <v>0</v>
      </c>
      <c r="V68">
        <f>SUMIF(SmtRes!AQ48:'SmtRes'!AQ57,"=1",SmtRes!CW48:'SmtRes'!CW57)</f>
        <v>0</v>
      </c>
      <c r="W68">
        <f t="shared" si="33"/>
        <v>0</v>
      </c>
      <c r="X68">
        <f t="shared" si="34"/>
        <v>0</v>
      </c>
      <c r="Y68">
        <f t="shared" si="35"/>
        <v>0</v>
      </c>
      <c r="AA68">
        <v>61635504</v>
      </c>
      <c r="AB68">
        <f t="shared" si="36"/>
        <v>5704.3640919999998</v>
      </c>
      <c r="AC68">
        <f>ROUND((SUM(SmtRes!BQ48:'SmtRes'!BQ57)),6)</f>
        <v>521.02229199999999</v>
      </c>
      <c r="AD68">
        <f>ROUND((((SUM(SmtRes!BR48:'SmtRes'!BR57))-(SUM(SmtRes!BS48:'SmtRes'!BS57)))+AE68),6)</f>
        <v>213.1514</v>
      </c>
      <c r="AE68">
        <f>ROUND((SUM(SmtRes!BS48:'SmtRes'!BS57)),6)</f>
        <v>112.1956</v>
      </c>
      <c r="AF68">
        <f>ROUND((SUM(SmtRes!BT48:'SmtRes'!BT57)),6)</f>
        <v>4970.1904000000004</v>
      </c>
      <c r="AG68">
        <f t="shared" si="37"/>
        <v>0</v>
      </c>
      <c r="AH68">
        <f>(SUM(SmtRes!BU48:'SmtRes'!BU57))</f>
        <v>11.68</v>
      </c>
      <c r="AI68">
        <f>(SUM(SmtRes!BV48:'SmtRes'!BV57))</f>
        <v>0.22</v>
      </c>
      <c r="AJ68">
        <f t="shared" si="38"/>
        <v>0</v>
      </c>
      <c r="AK68">
        <v>5816.5596917999992</v>
      </c>
      <c r="AL68">
        <v>521.02229180000006</v>
      </c>
      <c r="AM68">
        <v>213.1514</v>
      </c>
      <c r="AN68">
        <v>112.19560000000001</v>
      </c>
      <c r="AO68">
        <v>4970.1903999999995</v>
      </c>
      <c r="AP68">
        <v>0</v>
      </c>
      <c r="AQ68">
        <v>11.68</v>
      </c>
      <c r="AR68">
        <v>0.22</v>
      </c>
      <c r="AS68">
        <v>0</v>
      </c>
      <c r="AT68">
        <v>97</v>
      </c>
      <c r="AU68">
        <v>51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2</v>
      </c>
      <c r="BJ68" t="s">
        <v>116</v>
      </c>
      <c r="BM68">
        <v>108001</v>
      </c>
      <c r="BN68">
        <v>0</v>
      </c>
      <c r="BO68" t="s">
        <v>3</v>
      </c>
      <c r="BP68">
        <v>0</v>
      </c>
      <c r="BQ68">
        <v>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97</v>
      </c>
      <c r="CA68">
        <v>51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39"/>
        <v>0</v>
      </c>
      <c r="CQ68">
        <f>SUMIF(SmtRes!AQ48:'SmtRes'!AQ57,"=1",SmtRes!AA48:'SmtRes'!AA57)</f>
        <v>63353.509999999995</v>
      </c>
      <c r="CR68">
        <f>SUMIF(SmtRes!AQ48:'SmtRes'!AQ57,"=1",SmtRes!AB48:'SmtRes'!AB57)</f>
        <v>2028.54</v>
      </c>
      <c r="CS68">
        <f>SUMIF(SmtRes!AQ48:'SmtRes'!AQ57,"=1",SmtRes!AC48:'SmtRes'!AC57)</f>
        <v>1019.96</v>
      </c>
      <c r="CT68">
        <f>SUMIF(SmtRes!AQ48:'SmtRes'!AQ57,"=1",SmtRes!AD48:'SmtRes'!AD57)</f>
        <v>425.53</v>
      </c>
      <c r="CU68">
        <f t="shared" si="40"/>
        <v>0</v>
      </c>
      <c r="CV68">
        <f>SUMIF(SmtRes!AQ48:'SmtRes'!AQ57,"=1",SmtRes!BU48:'SmtRes'!BU57)</f>
        <v>11.68</v>
      </c>
      <c r="CW68">
        <f>SUMIF(SmtRes!AQ48:'SmtRes'!AQ57,"=1",SmtRes!BV48:'SmtRes'!BV57)</f>
        <v>0.22</v>
      </c>
      <c r="CX68">
        <f t="shared" si="41"/>
        <v>0</v>
      </c>
      <c r="CY68">
        <f t="shared" si="42"/>
        <v>0</v>
      </c>
      <c r="CZ68">
        <f t="shared" si="43"/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1003</v>
      </c>
      <c r="DV68" t="s">
        <v>111</v>
      </c>
      <c r="DW68" t="s">
        <v>111</v>
      </c>
      <c r="DX68">
        <v>100</v>
      </c>
      <c r="DZ68" t="s">
        <v>3</v>
      </c>
      <c r="EA68" t="s">
        <v>3</v>
      </c>
      <c r="EB68" t="s">
        <v>3</v>
      </c>
      <c r="EC68" t="s">
        <v>3</v>
      </c>
      <c r="EE68">
        <v>60393196</v>
      </c>
      <c r="EF68">
        <v>3</v>
      </c>
      <c r="EG68" t="s">
        <v>41</v>
      </c>
      <c r="EH68">
        <v>0</v>
      </c>
      <c r="EI68" t="s">
        <v>3</v>
      </c>
      <c r="EJ68">
        <v>2</v>
      </c>
      <c r="EK68">
        <v>108001</v>
      </c>
      <c r="EL68" t="s">
        <v>42</v>
      </c>
      <c r="EM68" t="s">
        <v>43</v>
      </c>
      <c r="EO68" t="s">
        <v>3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11.68</v>
      </c>
      <c r="EX68">
        <v>0.22</v>
      </c>
      <c r="EY68">
        <v>0</v>
      </c>
      <c r="FQ68">
        <v>0</v>
      </c>
      <c r="FR68">
        <f t="shared" si="44"/>
        <v>0</v>
      </c>
      <c r="FS68">
        <v>0</v>
      </c>
      <c r="FX68">
        <v>97</v>
      </c>
      <c r="FY68">
        <v>51</v>
      </c>
      <c r="GA68" t="s">
        <v>3</v>
      </c>
      <c r="GD68">
        <v>1</v>
      </c>
      <c r="GF68">
        <v>-804470961</v>
      </c>
      <c r="GG68">
        <v>2</v>
      </c>
      <c r="GH68">
        <v>1</v>
      </c>
      <c r="GI68">
        <v>-2</v>
      </c>
      <c r="GJ68">
        <v>0</v>
      </c>
      <c r="GK68">
        <v>0</v>
      </c>
      <c r="GL68">
        <f t="shared" si="45"/>
        <v>0</v>
      </c>
      <c r="GM68">
        <f t="shared" si="46"/>
        <v>0</v>
      </c>
      <c r="GN68">
        <f t="shared" si="47"/>
        <v>0</v>
      </c>
      <c r="GO68">
        <f t="shared" si="48"/>
        <v>0</v>
      </c>
      <c r="GP68">
        <f t="shared" si="49"/>
        <v>0</v>
      </c>
      <c r="GR68">
        <v>0</v>
      </c>
      <c r="GS68">
        <v>0</v>
      </c>
      <c r="GT68">
        <v>0</v>
      </c>
      <c r="GU68" t="s">
        <v>3</v>
      </c>
      <c r="GV68">
        <f t="shared" si="50"/>
        <v>0</v>
      </c>
      <c r="GW68">
        <v>1</v>
      </c>
      <c r="GX68">
        <f t="shared" si="51"/>
        <v>0</v>
      </c>
      <c r="HA68">
        <v>0</v>
      </c>
      <c r="HB68">
        <v>0</v>
      </c>
      <c r="HC68">
        <f t="shared" si="52"/>
        <v>0</v>
      </c>
      <c r="HE68" t="s">
        <v>3</v>
      </c>
      <c r="HF68" t="s">
        <v>3</v>
      </c>
      <c r="HM68" t="s">
        <v>3</v>
      </c>
      <c r="HN68" t="s">
        <v>45</v>
      </c>
      <c r="HO68" t="s">
        <v>46</v>
      </c>
      <c r="HP68" t="s">
        <v>42</v>
      </c>
      <c r="HQ68" t="s">
        <v>42</v>
      </c>
      <c r="IK68">
        <v>0</v>
      </c>
    </row>
    <row r="69" spans="1:245" x14ac:dyDescent="0.2">
      <c r="A69">
        <v>17</v>
      </c>
      <c r="B69">
        <v>1</v>
      </c>
      <c r="C69">
        <f>ROW(SmtRes!A66)</f>
        <v>66</v>
      </c>
      <c r="D69">
        <f>ROW(EtalonRes!A66)</f>
        <v>66</v>
      </c>
      <c r="E69" t="s">
        <v>117</v>
      </c>
      <c r="F69" t="s">
        <v>36</v>
      </c>
      <c r="G69" t="s">
        <v>118</v>
      </c>
      <c r="H69" t="s">
        <v>38</v>
      </c>
      <c r="I69">
        <f>ROUND(50/100,7)</f>
        <v>0.5</v>
      </c>
      <c r="J69">
        <v>0</v>
      </c>
      <c r="K69">
        <f>ROUND(50/100,7)</f>
        <v>0.5</v>
      </c>
      <c r="O69">
        <f t="shared" si="31"/>
        <v>9732.2800000000007</v>
      </c>
      <c r="P69">
        <f>SUMIF(SmtRes!AQ58:'SmtRes'!AQ66,"=1",SmtRes!DF58:'SmtRes'!DF66)</f>
        <v>611.23</v>
      </c>
      <c r="Q69">
        <f>SUMIF(SmtRes!AQ58:'SmtRes'!AQ66,"=1",SmtRes!DG58:'SmtRes'!DG66)</f>
        <v>103.49999999999999</v>
      </c>
      <c r="R69">
        <f>SUMIF(SmtRes!AQ58:'SmtRes'!AQ66,"=1",SmtRes!DH58:'SmtRes'!DH66)</f>
        <v>50.99</v>
      </c>
      <c r="S69">
        <f>SUMIF(SmtRes!AQ58:'SmtRes'!AQ66,"=1",SmtRes!DI58:'SmtRes'!DI66)</f>
        <v>8966.56</v>
      </c>
      <c r="T69">
        <f t="shared" si="32"/>
        <v>0</v>
      </c>
      <c r="U69">
        <f>SUMIF(SmtRes!AQ58:'SmtRes'!AQ66,"=1",SmtRes!CV58:'SmtRes'!CV66)</f>
        <v>20.6</v>
      </c>
      <c r="V69">
        <f>SUMIF(SmtRes!AQ58:'SmtRes'!AQ66,"=1",SmtRes!CW58:'SmtRes'!CW66)</f>
        <v>0.1</v>
      </c>
      <c r="W69">
        <f t="shared" si="33"/>
        <v>0</v>
      </c>
      <c r="X69">
        <f t="shared" si="34"/>
        <v>8747.02</v>
      </c>
      <c r="Y69">
        <f t="shared" si="35"/>
        <v>4598.95</v>
      </c>
      <c r="AA69">
        <v>61635504</v>
      </c>
      <c r="AB69">
        <f t="shared" si="36"/>
        <v>19320.311150000001</v>
      </c>
      <c r="AC69">
        <f>ROUND((SUM(SmtRes!BQ58:'SmtRes'!BQ66)),6)</f>
        <v>1189.2755500000001</v>
      </c>
      <c r="AD69">
        <f>ROUND((((SUM(SmtRes!BR58:'SmtRes'!BR66))-(SUM(SmtRes!BS58:'SmtRes'!BS66)))+AE69),6)</f>
        <v>197.91159999999999</v>
      </c>
      <c r="AE69">
        <f>ROUND((SUM(SmtRes!BS58:'SmtRes'!BS66)),6)</f>
        <v>101.996</v>
      </c>
      <c r="AF69">
        <f>ROUND((SUM(SmtRes!BT58:'SmtRes'!BT66)),6)</f>
        <v>17933.124</v>
      </c>
      <c r="AG69">
        <f t="shared" si="37"/>
        <v>0</v>
      </c>
      <c r="AH69">
        <f>(SUM(SmtRes!BU58:'SmtRes'!BU66))</f>
        <v>41.2</v>
      </c>
      <c r="AI69">
        <f>(SUM(SmtRes!BV58:'SmtRes'!BV66))</f>
        <v>0.2</v>
      </c>
      <c r="AJ69">
        <f t="shared" si="38"/>
        <v>0</v>
      </c>
      <c r="AK69">
        <v>19422.307150000001</v>
      </c>
      <c r="AL69">
        <v>1189.2755500000001</v>
      </c>
      <c r="AM69">
        <v>197.91159999999999</v>
      </c>
      <c r="AN69">
        <v>101.99600000000001</v>
      </c>
      <c r="AO69">
        <v>17933.124</v>
      </c>
      <c r="AP69">
        <v>0</v>
      </c>
      <c r="AQ69">
        <v>41.2</v>
      </c>
      <c r="AR69">
        <v>0.2</v>
      </c>
      <c r="AS69">
        <v>0</v>
      </c>
      <c r="AT69">
        <v>97</v>
      </c>
      <c r="AU69">
        <v>51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39</v>
      </c>
      <c r="BM69">
        <v>108001</v>
      </c>
      <c r="BN69">
        <v>0</v>
      </c>
      <c r="BO69" t="s">
        <v>3</v>
      </c>
      <c r="BP69">
        <v>0</v>
      </c>
      <c r="BQ69">
        <v>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97</v>
      </c>
      <c r="CA69">
        <v>51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39"/>
        <v>9732.2799999999988</v>
      </c>
      <c r="CQ69">
        <f>SUMIF(SmtRes!AQ58:'SmtRes'!AQ66,"=1",SmtRes!AA58:'SmtRes'!AA66)</f>
        <v>63613.310000000005</v>
      </c>
      <c r="CR69">
        <f>SUMIF(SmtRes!AQ58:'SmtRes'!AQ66,"=1",SmtRes!AB58:'SmtRes'!AB66)</f>
        <v>2054.4</v>
      </c>
      <c r="CS69">
        <f>SUMIF(SmtRes!AQ58:'SmtRes'!AQ66,"=1",SmtRes!AC58:'SmtRes'!AC66)</f>
        <v>1019.96</v>
      </c>
      <c r="CT69">
        <f>SUMIF(SmtRes!AQ58:'SmtRes'!AQ66,"=1",SmtRes!AD58:'SmtRes'!AD66)</f>
        <v>435.27</v>
      </c>
      <c r="CU69">
        <f t="shared" si="40"/>
        <v>0</v>
      </c>
      <c r="CV69">
        <f>SUMIF(SmtRes!AQ58:'SmtRes'!AQ66,"=1",SmtRes!BU58:'SmtRes'!BU66)</f>
        <v>41.2</v>
      </c>
      <c r="CW69">
        <f>SUMIF(SmtRes!AQ58:'SmtRes'!AQ66,"=1",SmtRes!BV58:'SmtRes'!BV66)</f>
        <v>0.2</v>
      </c>
      <c r="CX69">
        <f t="shared" si="41"/>
        <v>0</v>
      </c>
      <c r="CY69">
        <f t="shared" si="42"/>
        <v>8747.0234999999993</v>
      </c>
      <c r="CZ69">
        <f t="shared" si="43"/>
        <v>4598.9504999999999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38</v>
      </c>
      <c r="DW69" t="s">
        <v>38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60393196</v>
      </c>
      <c r="EF69">
        <v>3</v>
      </c>
      <c r="EG69" t="s">
        <v>41</v>
      </c>
      <c r="EH69">
        <v>0</v>
      </c>
      <c r="EI69" t="s">
        <v>3</v>
      </c>
      <c r="EJ69">
        <v>2</v>
      </c>
      <c r="EK69">
        <v>108001</v>
      </c>
      <c r="EL69" t="s">
        <v>42</v>
      </c>
      <c r="EM69" t="s">
        <v>43</v>
      </c>
      <c r="EO69" t="s">
        <v>3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41.2</v>
      </c>
      <c r="EX69">
        <v>0.2</v>
      </c>
      <c r="EY69">
        <v>0</v>
      </c>
      <c r="FQ69">
        <v>0</v>
      </c>
      <c r="FR69">
        <f t="shared" si="44"/>
        <v>0</v>
      </c>
      <c r="FS69">
        <v>0</v>
      </c>
      <c r="FX69">
        <v>97</v>
      </c>
      <c r="FY69">
        <v>51</v>
      </c>
      <c r="GA69" t="s">
        <v>3</v>
      </c>
      <c r="GD69">
        <v>1</v>
      </c>
      <c r="GF69">
        <v>-1599183672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 t="shared" si="45"/>
        <v>0</v>
      </c>
      <c r="GM69">
        <f t="shared" si="46"/>
        <v>23078.25</v>
      </c>
      <c r="GN69">
        <f t="shared" si="47"/>
        <v>0</v>
      </c>
      <c r="GO69">
        <f t="shared" si="48"/>
        <v>23078.25</v>
      </c>
      <c r="GP69">
        <f t="shared" si="49"/>
        <v>0</v>
      </c>
      <c r="GR69">
        <v>0</v>
      </c>
      <c r="GS69">
        <v>3</v>
      </c>
      <c r="GT69">
        <v>0</v>
      </c>
      <c r="GU69" t="s">
        <v>3</v>
      </c>
      <c r="GV69">
        <f t="shared" si="50"/>
        <v>0</v>
      </c>
      <c r="GW69">
        <v>1</v>
      </c>
      <c r="GX69">
        <f t="shared" si="51"/>
        <v>0</v>
      </c>
      <c r="HA69">
        <v>0</v>
      </c>
      <c r="HB69">
        <v>0</v>
      </c>
      <c r="HC69">
        <f t="shared" si="52"/>
        <v>0</v>
      </c>
      <c r="HE69" t="s">
        <v>3</v>
      </c>
      <c r="HF69" t="s">
        <v>3</v>
      </c>
      <c r="HM69" t="s">
        <v>3</v>
      </c>
      <c r="HN69" t="s">
        <v>45</v>
      </c>
      <c r="HO69" t="s">
        <v>46</v>
      </c>
      <c r="HP69" t="s">
        <v>42</v>
      </c>
      <c r="HQ69" t="s">
        <v>42</v>
      </c>
      <c r="IK69">
        <v>0</v>
      </c>
    </row>
    <row r="70" spans="1:245" x14ac:dyDescent="0.2">
      <c r="A70">
        <v>17</v>
      </c>
      <c r="B70">
        <v>1</v>
      </c>
      <c r="C70">
        <f>ROW(SmtRes!A77)</f>
        <v>77</v>
      </c>
      <c r="D70">
        <f>ROW(EtalonRes!A77)</f>
        <v>77</v>
      </c>
      <c r="E70" t="s">
        <v>119</v>
      </c>
      <c r="F70" t="s">
        <v>120</v>
      </c>
      <c r="G70" t="s">
        <v>121</v>
      </c>
      <c r="H70" t="s">
        <v>50</v>
      </c>
      <c r="I70">
        <v>8</v>
      </c>
      <c r="J70">
        <v>0</v>
      </c>
      <c r="K70">
        <v>8</v>
      </c>
      <c r="O70">
        <f t="shared" si="31"/>
        <v>12667.76</v>
      </c>
      <c r="P70">
        <f>SUMIF(SmtRes!AQ67:'SmtRes'!AQ77,"=1",SmtRes!DF67:'SmtRes'!DF77)</f>
        <v>1963.52</v>
      </c>
      <c r="Q70">
        <f>SUMIF(SmtRes!AQ67:'SmtRes'!AQ77,"=1",SmtRes!DG67:'SmtRes'!DG77)</f>
        <v>1118.51</v>
      </c>
      <c r="R70">
        <f>SUMIF(SmtRes!AQ67:'SmtRes'!AQ77,"=1",SmtRes!DH67:'SmtRes'!DH77)</f>
        <v>940.18000000000006</v>
      </c>
      <c r="S70">
        <f>SUMIF(SmtRes!AQ67:'SmtRes'!AQ77,"=1",SmtRes!DI67:'SmtRes'!DI77)</f>
        <v>8645.5499999999993</v>
      </c>
      <c r="T70">
        <f t="shared" si="32"/>
        <v>0</v>
      </c>
      <c r="U70">
        <f>SUMIF(SmtRes!AQ67:'SmtRes'!AQ77,"=1",SmtRes!CV67:'SmtRes'!CV77)</f>
        <v>21.04</v>
      </c>
      <c r="V70">
        <f>SUMIF(SmtRes!AQ67:'SmtRes'!AQ77,"=1",SmtRes!CW67:'SmtRes'!CW77)</f>
        <v>2.16</v>
      </c>
      <c r="W70">
        <f t="shared" si="33"/>
        <v>0</v>
      </c>
      <c r="X70">
        <f t="shared" si="34"/>
        <v>9873.2999999999993</v>
      </c>
      <c r="Y70">
        <f t="shared" si="35"/>
        <v>5751.44</v>
      </c>
      <c r="AA70">
        <v>61635504</v>
      </c>
      <c r="AB70">
        <f t="shared" si="36"/>
        <v>1313.1339</v>
      </c>
      <c r="AC70">
        <f>ROUND((SUM(SmtRes!BQ67:'SmtRes'!BQ77)),6)</f>
        <v>119.145</v>
      </c>
      <c r="AD70">
        <f>ROUND((((SUM(SmtRes!BR67:'SmtRes'!BR77))-(SUM(SmtRes!BS67:'SmtRes'!BS77)))+AE70),6)</f>
        <v>113.29559999999999</v>
      </c>
      <c r="AE70">
        <f>ROUND((SUM(SmtRes!BS67:'SmtRes'!BS77)),6)</f>
        <v>117.52290000000001</v>
      </c>
      <c r="AF70">
        <f>ROUND((SUM(SmtRes!BT67:'SmtRes'!BT77)),6)</f>
        <v>1080.6932999999999</v>
      </c>
      <c r="AG70">
        <f t="shared" si="37"/>
        <v>0</v>
      </c>
      <c r="AH70">
        <f>(SUM(SmtRes!BU67:'SmtRes'!BU77))</f>
        <v>2.63</v>
      </c>
      <c r="AI70">
        <f>(SUM(SmtRes!BV67:'SmtRes'!BV77))</f>
        <v>0.27</v>
      </c>
      <c r="AJ70">
        <f t="shared" si="38"/>
        <v>0</v>
      </c>
      <c r="AK70">
        <v>1430.6567999999997</v>
      </c>
      <c r="AL70">
        <v>119.145</v>
      </c>
      <c r="AM70">
        <v>113.29560000000001</v>
      </c>
      <c r="AN70">
        <v>117.52289999999999</v>
      </c>
      <c r="AO70">
        <v>1080.6932999999999</v>
      </c>
      <c r="AP70">
        <v>0</v>
      </c>
      <c r="AQ70">
        <v>2.63</v>
      </c>
      <c r="AR70">
        <v>0.27</v>
      </c>
      <c r="AS70">
        <v>0</v>
      </c>
      <c r="AT70">
        <v>103</v>
      </c>
      <c r="AU70">
        <v>60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122</v>
      </c>
      <c r="BM70">
        <v>33001</v>
      </c>
      <c r="BN70">
        <v>0</v>
      </c>
      <c r="BO70" t="s">
        <v>3</v>
      </c>
      <c r="BP70">
        <v>0</v>
      </c>
      <c r="BQ70">
        <v>2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103</v>
      </c>
      <c r="CA70">
        <v>60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39"/>
        <v>12667.759999999998</v>
      </c>
      <c r="CQ70">
        <f>SUMIF(SmtRes!AQ67:'SmtRes'!AQ77,"=1",SmtRes!AA67:'SmtRes'!AA77)</f>
        <v>685.05</v>
      </c>
      <c r="CR70">
        <f>SUMIF(SmtRes!AQ67:'SmtRes'!AQ77,"=1",SmtRes!AB67:'SmtRes'!AB77)</f>
        <v>1022.94</v>
      </c>
      <c r="CS70">
        <f>SUMIF(SmtRes!AQ67:'SmtRes'!AQ77,"=1",SmtRes!AC67:'SmtRes'!AC77)</f>
        <v>870.54</v>
      </c>
      <c r="CT70">
        <f>SUMIF(SmtRes!AQ67:'SmtRes'!AQ77,"=1",SmtRes!AD67:'SmtRes'!AD77)</f>
        <v>410.91</v>
      </c>
      <c r="CU70">
        <f t="shared" si="40"/>
        <v>0</v>
      </c>
      <c r="CV70">
        <f>SUMIF(SmtRes!AQ67:'SmtRes'!AQ77,"=1",SmtRes!BU67:'SmtRes'!BU77)</f>
        <v>2.63</v>
      </c>
      <c r="CW70">
        <f>SUMIF(SmtRes!AQ67:'SmtRes'!AQ77,"=1",SmtRes!BV67:'SmtRes'!BV77)</f>
        <v>0.27</v>
      </c>
      <c r="CX70">
        <f t="shared" si="41"/>
        <v>0</v>
      </c>
      <c r="CY70">
        <f t="shared" si="42"/>
        <v>9873.3018999999986</v>
      </c>
      <c r="CZ70">
        <f t="shared" si="43"/>
        <v>5751.4379999999992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50</v>
      </c>
      <c r="DW70" t="s">
        <v>50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60393367</v>
      </c>
      <c r="EF70">
        <v>2</v>
      </c>
      <c r="EG70" t="s">
        <v>29</v>
      </c>
      <c r="EH70">
        <v>27</v>
      </c>
      <c r="EI70" t="s">
        <v>30</v>
      </c>
      <c r="EJ70">
        <v>1</v>
      </c>
      <c r="EK70">
        <v>33001</v>
      </c>
      <c r="EL70" t="s">
        <v>30</v>
      </c>
      <c r="EM70" t="s">
        <v>31</v>
      </c>
      <c r="EO70" t="s">
        <v>3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2.63</v>
      </c>
      <c r="EX70">
        <v>0.27</v>
      </c>
      <c r="EY70">
        <v>0</v>
      </c>
      <c r="FQ70">
        <v>0</v>
      </c>
      <c r="FR70">
        <f t="shared" si="44"/>
        <v>0</v>
      </c>
      <c r="FS70">
        <v>0</v>
      </c>
      <c r="FX70">
        <v>103</v>
      </c>
      <c r="FY70">
        <v>60</v>
      </c>
      <c r="GA70" t="s">
        <v>3</v>
      </c>
      <c r="GD70">
        <v>1</v>
      </c>
      <c r="GF70">
        <v>-1696818879</v>
      </c>
      <c r="GG70">
        <v>2</v>
      </c>
      <c r="GH70">
        <v>1</v>
      </c>
      <c r="GI70">
        <v>-2</v>
      </c>
      <c r="GJ70">
        <v>0</v>
      </c>
      <c r="GK70">
        <v>0</v>
      </c>
      <c r="GL70">
        <f t="shared" si="45"/>
        <v>0</v>
      </c>
      <c r="GM70">
        <f t="shared" si="46"/>
        <v>28292.5</v>
      </c>
      <c r="GN70">
        <f t="shared" si="47"/>
        <v>28292.5</v>
      </c>
      <c r="GO70">
        <f t="shared" si="48"/>
        <v>0</v>
      </c>
      <c r="GP70">
        <f t="shared" si="49"/>
        <v>0</v>
      </c>
      <c r="GR70">
        <v>0</v>
      </c>
      <c r="GS70">
        <v>3</v>
      </c>
      <c r="GT70">
        <v>0</v>
      </c>
      <c r="GU70" t="s">
        <v>3</v>
      </c>
      <c r="GV70">
        <f t="shared" si="50"/>
        <v>0</v>
      </c>
      <c r="GW70">
        <v>1</v>
      </c>
      <c r="GX70">
        <f t="shared" si="51"/>
        <v>0</v>
      </c>
      <c r="HA70">
        <v>0</v>
      </c>
      <c r="HB70">
        <v>0</v>
      </c>
      <c r="HC70">
        <f t="shared" si="52"/>
        <v>0</v>
      </c>
      <c r="HE70" t="s">
        <v>3</v>
      </c>
      <c r="HF70" t="s">
        <v>3</v>
      </c>
      <c r="HM70" t="s">
        <v>3</v>
      </c>
      <c r="HN70" t="s">
        <v>33</v>
      </c>
      <c r="HO70" t="s">
        <v>34</v>
      </c>
      <c r="HP70" t="s">
        <v>30</v>
      </c>
      <c r="HQ70" t="s">
        <v>30</v>
      </c>
      <c r="IK70">
        <v>0</v>
      </c>
    </row>
    <row r="71" spans="1:245" x14ac:dyDescent="0.2">
      <c r="A71">
        <v>17</v>
      </c>
      <c r="B71">
        <v>1</v>
      </c>
      <c r="C71">
        <f>ROW(SmtRes!A88)</f>
        <v>88</v>
      </c>
      <c r="D71">
        <f>ROW(EtalonRes!A88)</f>
        <v>88</v>
      </c>
      <c r="E71" t="s">
        <v>123</v>
      </c>
      <c r="F71" t="s">
        <v>124</v>
      </c>
      <c r="G71" t="s">
        <v>125</v>
      </c>
      <c r="H71" t="s">
        <v>126</v>
      </c>
      <c r="I71">
        <v>8</v>
      </c>
      <c r="J71">
        <v>0</v>
      </c>
      <c r="K71">
        <v>8</v>
      </c>
      <c r="O71">
        <f t="shared" si="31"/>
        <v>91624.5</v>
      </c>
      <c r="P71">
        <f>SUMIF(SmtRes!AQ78:'SmtRes'!AQ88,"=1",SmtRes!DF78:'SmtRes'!DF88)</f>
        <v>580.74</v>
      </c>
      <c r="Q71">
        <f>SUMIF(SmtRes!AQ78:'SmtRes'!AQ88,"=1",SmtRes!DG78:'SmtRes'!DG88)</f>
        <v>57408.18</v>
      </c>
      <c r="R71">
        <f>SUMIF(SmtRes!AQ78:'SmtRes'!AQ88,"=1",SmtRes!DH78:'SmtRes'!DH88)</f>
        <v>17435.199999999997</v>
      </c>
      <c r="S71">
        <f>SUMIF(SmtRes!AQ78:'SmtRes'!AQ88,"=1",SmtRes!DI78:'SmtRes'!DI88)</f>
        <v>16200.38</v>
      </c>
      <c r="T71">
        <f t="shared" si="32"/>
        <v>0</v>
      </c>
      <c r="U71">
        <f>SUMIF(SmtRes!AQ78:'SmtRes'!AQ88,"=1",SmtRes!CV78:'SmtRes'!CV88)</f>
        <v>34.159999999999997</v>
      </c>
      <c r="V71">
        <f>SUMIF(SmtRes!AQ78:'SmtRes'!AQ88,"=1",SmtRes!CW78:'SmtRes'!CW88)</f>
        <v>29.839999999999996</v>
      </c>
      <c r="W71">
        <f t="shared" si="33"/>
        <v>0</v>
      </c>
      <c r="X71">
        <f t="shared" si="34"/>
        <v>32626.51</v>
      </c>
      <c r="Y71">
        <f t="shared" si="35"/>
        <v>17154.150000000001</v>
      </c>
      <c r="AA71">
        <v>61635504</v>
      </c>
      <c r="AB71">
        <f t="shared" si="36"/>
        <v>7566.1597830000001</v>
      </c>
      <c r="AC71">
        <f>ROUND((SUM(SmtRes!BQ78:'SmtRes'!BQ88)),6)</f>
        <v>59.353482999999997</v>
      </c>
      <c r="AD71">
        <f>ROUND((((SUM(SmtRes!BR78:'SmtRes'!BR88))-(SUM(SmtRes!BS78:'SmtRes'!BS88)))+AE71),6)</f>
        <v>5481.7587999999996</v>
      </c>
      <c r="AE71">
        <f>ROUND((SUM(SmtRes!BS78:'SmtRes'!BS88)),6)</f>
        <v>2179.3995</v>
      </c>
      <c r="AF71">
        <f>ROUND((SUM(SmtRes!BT78:'SmtRes'!BT88)),6)</f>
        <v>2025.0474999999999</v>
      </c>
      <c r="AG71">
        <f t="shared" si="37"/>
        <v>0</v>
      </c>
      <c r="AH71">
        <f>(SUM(SmtRes!BU78:'SmtRes'!BU88))</f>
        <v>4.2699999999999996</v>
      </c>
      <c r="AI71">
        <f>(SUM(SmtRes!BV78:'SmtRes'!BV88))</f>
        <v>3.7299999999999995</v>
      </c>
      <c r="AJ71">
        <f t="shared" si="38"/>
        <v>0</v>
      </c>
      <c r="AK71">
        <v>9745.559282799999</v>
      </c>
      <c r="AL71">
        <v>59.353482800000002</v>
      </c>
      <c r="AM71">
        <v>5481.7587999999996</v>
      </c>
      <c r="AN71">
        <v>2179.3995</v>
      </c>
      <c r="AO71">
        <v>2025.0474999999999</v>
      </c>
      <c r="AP71">
        <v>0</v>
      </c>
      <c r="AQ71">
        <v>4.2699999999999996</v>
      </c>
      <c r="AR71">
        <v>3.7299999999999995</v>
      </c>
      <c r="AS71">
        <v>0</v>
      </c>
      <c r="AT71">
        <v>97</v>
      </c>
      <c r="AU71">
        <v>51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2</v>
      </c>
      <c r="BJ71" t="s">
        <v>127</v>
      </c>
      <c r="BM71">
        <v>108001</v>
      </c>
      <c r="BN71">
        <v>0</v>
      </c>
      <c r="BO71" t="s">
        <v>3</v>
      </c>
      <c r="BP71">
        <v>0</v>
      </c>
      <c r="BQ71">
        <v>3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97</v>
      </c>
      <c r="CA71">
        <v>51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39"/>
        <v>91624.5</v>
      </c>
      <c r="CQ71">
        <f>SUMIF(SmtRes!AQ78:'SmtRes'!AQ88,"=1",SmtRes!AA78:'SmtRes'!AA88)</f>
        <v>87849.489999999991</v>
      </c>
      <c r="CR71">
        <f>SUMIF(SmtRes!AQ78:'SmtRes'!AQ88,"=1",SmtRes!AB78:'SmtRes'!AB88)</f>
        <v>3957.3100000000004</v>
      </c>
      <c r="CS71">
        <f>SUMIF(SmtRes!AQ78:'SmtRes'!AQ88,"=1",SmtRes!AC78:'SmtRes'!AC88)</f>
        <v>1604.65</v>
      </c>
      <c r="CT71">
        <f>SUMIF(SmtRes!AQ78:'SmtRes'!AQ88,"=1",SmtRes!AD78:'SmtRes'!AD88)</f>
        <v>474.25</v>
      </c>
      <c r="CU71">
        <f t="shared" si="40"/>
        <v>0</v>
      </c>
      <c r="CV71">
        <f>SUMIF(SmtRes!AQ78:'SmtRes'!AQ88,"=1",SmtRes!BU78:'SmtRes'!BU88)</f>
        <v>4.2699999999999996</v>
      </c>
      <c r="CW71">
        <f>SUMIF(SmtRes!AQ78:'SmtRes'!AQ88,"=1",SmtRes!BV78:'SmtRes'!BV88)</f>
        <v>3.7299999999999995</v>
      </c>
      <c r="CX71">
        <f t="shared" si="41"/>
        <v>0</v>
      </c>
      <c r="CY71">
        <f t="shared" si="42"/>
        <v>32626.512599999995</v>
      </c>
      <c r="CZ71">
        <f t="shared" si="43"/>
        <v>17154.145799999995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126</v>
      </c>
      <c r="DW71" t="s">
        <v>126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60393196</v>
      </c>
      <c r="EF71">
        <v>3</v>
      </c>
      <c r="EG71" t="s">
        <v>41</v>
      </c>
      <c r="EH71">
        <v>0</v>
      </c>
      <c r="EI71" t="s">
        <v>3</v>
      </c>
      <c r="EJ71">
        <v>2</v>
      </c>
      <c r="EK71">
        <v>108001</v>
      </c>
      <c r="EL71" t="s">
        <v>42</v>
      </c>
      <c r="EM71" t="s">
        <v>43</v>
      </c>
      <c r="EO71" t="s">
        <v>3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4.2699999999999996</v>
      </c>
      <c r="EX71">
        <v>3.73</v>
      </c>
      <c r="EY71">
        <v>0</v>
      </c>
      <c r="FQ71">
        <v>0</v>
      </c>
      <c r="FR71">
        <f t="shared" si="44"/>
        <v>0</v>
      </c>
      <c r="FS71">
        <v>0</v>
      </c>
      <c r="FX71">
        <v>97</v>
      </c>
      <c r="FY71">
        <v>51</v>
      </c>
      <c r="GA71" t="s">
        <v>3</v>
      </c>
      <c r="GD71">
        <v>1</v>
      </c>
      <c r="GF71">
        <v>1330254685</v>
      </c>
      <c r="GG71">
        <v>2</v>
      </c>
      <c r="GH71">
        <v>1</v>
      </c>
      <c r="GI71">
        <v>-2</v>
      </c>
      <c r="GJ71">
        <v>0</v>
      </c>
      <c r="GK71">
        <v>0</v>
      </c>
      <c r="GL71">
        <f t="shared" si="45"/>
        <v>0</v>
      </c>
      <c r="GM71">
        <f t="shared" si="46"/>
        <v>141405.16</v>
      </c>
      <c r="GN71">
        <f t="shared" si="47"/>
        <v>0</v>
      </c>
      <c r="GO71">
        <f t="shared" si="48"/>
        <v>141405.16</v>
      </c>
      <c r="GP71">
        <f t="shared" si="49"/>
        <v>0</v>
      </c>
      <c r="GR71">
        <v>0</v>
      </c>
      <c r="GS71">
        <v>3</v>
      </c>
      <c r="GT71">
        <v>0</v>
      </c>
      <c r="GU71" t="s">
        <v>3</v>
      </c>
      <c r="GV71">
        <f t="shared" si="50"/>
        <v>0</v>
      </c>
      <c r="GW71">
        <v>1</v>
      </c>
      <c r="GX71">
        <f t="shared" si="51"/>
        <v>0</v>
      </c>
      <c r="HA71">
        <v>0</v>
      </c>
      <c r="HB71">
        <v>0</v>
      </c>
      <c r="HC71">
        <f t="shared" si="52"/>
        <v>0</v>
      </c>
      <c r="HE71" t="s">
        <v>3</v>
      </c>
      <c r="HF71" t="s">
        <v>3</v>
      </c>
      <c r="HM71" t="s">
        <v>3</v>
      </c>
      <c r="HN71" t="s">
        <v>45</v>
      </c>
      <c r="HO71" t="s">
        <v>46</v>
      </c>
      <c r="HP71" t="s">
        <v>42</v>
      </c>
      <c r="HQ71" t="s">
        <v>42</v>
      </c>
      <c r="IK71">
        <v>0</v>
      </c>
    </row>
    <row r="72" spans="1:245" x14ac:dyDescent="0.2">
      <c r="A72">
        <v>17</v>
      </c>
      <c r="B72">
        <v>1</v>
      </c>
      <c r="C72">
        <f>ROW(SmtRes!A103)</f>
        <v>103</v>
      </c>
      <c r="D72">
        <f>ROW(EtalonRes!A103)</f>
        <v>103</v>
      </c>
      <c r="E72" t="s">
        <v>128</v>
      </c>
      <c r="F72" t="s">
        <v>129</v>
      </c>
      <c r="G72" t="s">
        <v>130</v>
      </c>
      <c r="H72" t="s">
        <v>38</v>
      </c>
      <c r="I72">
        <v>0</v>
      </c>
      <c r="J72">
        <v>0</v>
      </c>
      <c r="K72">
        <v>0</v>
      </c>
      <c r="O72">
        <f t="shared" si="31"/>
        <v>0</v>
      </c>
      <c r="P72">
        <f>SUMIF(SmtRes!AQ89:'SmtRes'!AQ103,"=1",SmtRes!DF89:'SmtRes'!DF103)</f>
        <v>0</v>
      </c>
      <c r="Q72">
        <f>SUMIF(SmtRes!AQ89:'SmtRes'!AQ103,"=1",SmtRes!DG89:'SmtRes'!DG103)</f>
        <v>0</v>
      </c>
      <c r="R72">
        <f>SUMIF(SmtRes!AQ89:'SmtRes'!AQ103,"=1",SmtRes!DH89:'SmtRes'!DH103)</f>
        <v>0</v>
      </c>
      <c r="S72">
        <f>SUMIF(SmtRes!AQ89:'SmtRes'!AQ103,"=1",SmtRes!DI89:'SmtRes'!DI103)</f>
        <v>0</v>
      </c>
      <c r="T72">
        <f t="shared" si="32"/>
        <v>0</v>
      </c>
      <c r="U72">
        <f>SUMIF(SmtRes!AQ89:'SmtRes'!AQ103,"=1",SmtRes!CV89:'SmtRes'!CV103)</f>
        <v>0</v>
      </c>
      <c r="V72">
        <f>SUMIF(SmtRes!AQ89:'SmtRes'!AQ103,"=1",SmtRes!CW89:'SmtRes'!CW103)</f>
        <v>0</v>
      </c>
      <c r="W72">
        <f t="shared" si="33"/>
        <v>0</v>
      </c>
      <c r="X72">
        <f t="shared" si="34"/>
        <v>0</v>
      </c>
      <c r="Y72">
        <f t="shared" si="35"/>
        <v>0</v>
      </c>
      <c r="AA72">
        <v>61635504</v>
      </c>
      <c r="AB72">
        <f t="shared" si="36"/>
        <v>37745.852425999998</v>
      </c>
      <c r="AC72">
        <f>ROUND((SUM(SmtRes!BQ89:'SmtRes'!BQ103)),6)</f>
        <v>5979.0350259999996</v>
      </c>
      <c r="AD72">
        <f>ROUND((((SUM(SmtRes!BR89:'SmtRes'!BR103))-(SUM(SmtRes!BS89:'SmtRes'!BS103)))+AE72),6)</f>
        <v>387.91739999999999</v>
      </c>
      <c r="AE72">
        <f>ROUND((SUM(SmtRes!BS89:'SmtRes'!BS103)),6)</f>
        <v>40.798400000000001</v>
      </c>
      <c r="AF72">
        <f>ROUND((SUM(SmtRes!BT89:'SmtRes'!BT103)),6)</f>
        <v>31378.9</v>
      </c>
      <c r="AG72">
        <f t="shared" si="37"/>
        <v>0</v>
      </c>
      <c r="AH72">
        <f>(SUM(SmtRes!BU89:'SmtRes'!BU103))</f>
        <v>70</v>
      </c>
      <c r="AI72">
        <f>(SUM(SmtRes!BV89:'SmtRes'!BV103))</f>
        <v>0.08</v>
      </c>
      <c r="AJ72">
        <f t="shared" si="38"/>
        <v>0</v>
      </c>
      <c r="AK72">
        <v>37786.650825999997</v>
      </c>
      <c r="AL72">
        <v>5979.0350260000005</v>
      </c>
      <c r="AM72">
        <v>387.91739999999999</v>
      </c>
      <c r="AN72">
        <v>40.798400000000001</v>
      </c>
      <c r="AO72">
        <v>31378.899999999998</v>
      </c>
      <c r="AP72">
        <v>0</v>
      </c>
      <c r="AQ72">
        <v>70</v>
      </c>
      <c r="AR72">
        <v>0.08</v>
      </c>
      <c r="AS72">
        <v>0</v>
      </c>
      <c r="AT72">
        <v>97</v>
      </c>
      <c r="AU72">
        <v>51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2</v>
      </c>
      <c r="BJ72" t="s">
        <v>131</v>
      </c>
      <c r="BM72">
        <v>108001</v>
      </c>
      <c r="BN72">
        <v>0</v>
      </c>
      <c r="BO72" t="s">
        <v>3</v>
      </c>
      <c r="BP72">
        <v>0</v>
      </c>
      <c r="BQ72">
        <v>3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97</v>
      </c>
      <c r="CA72">
        <v>51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39"/>
        <v>0</v>
      </c>
      <c r="CQ72">
        <f>SUMIF(SmtRes!AQ89:'SmtRes'!AQ103,"=1",SmtRes!AA89:'SmtRes'!AA103)</f>
        <v>969402.37999999989</v>
      </c>
      <c r="CR72">
        <f>SUMIF(SmtRes!AQ89:'SmtRes'!AQ103,"=1",SmtRes!AB89:'SmtRes'!AB103)</f>
        <v>2082.59</v>
      </c>
      <c r="CS72">
        <f>SUMIF(SmtRes!AQ89:'SmtRes'!AQ103,"=1",SmtRes!AC89:'SmtRes'!AC103)</f>
        <v>1019.96</v>
      </c>
      <c r="CT72">
        <f>SUMIF(SmtRes!AQ89:'SmtRes'!AQ103,"=1",SmtRes!AD89:'SmtRes'!AD103)</f>
        <v>448.27</v>
      </c>
      <c r="CU72">
        <f t="shared" si="40"/>
        <v>0</v>
      </c>
      <c r="CV72">
        <f>SUMIF(SmtRes!AQ89:'SmtRes'!AQ103,"=1",SmtRes!BU89:'SmtRes'!BU103)</f>
        <v>70</v>
      </c>
      <c r="CW72">
        <f>SUMIF(SmtRes!AQ89:'SmtRes'!AQ103,"=1",SmtRes!BV89:'SmtRes'!BV103)</f>
        <v>0.08</v>
      </c>
      <c r="CX72">
        <f t="shared" si="41"/>
        <v>0</v>
      </c>
      <c r="CY72">
        <f t="shared" si="42"/>
        <v>0</v>
      </c>
      <c r="CZ72">
        <f t="shared" si="43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38</v>
      </c>
      <c r="DW72" t="s">
        <v>38</v>
      </c>
      <c r="DX72">
        <v>1</v>
      </c>
      <c r="DZ72" t="s">
        <v>3</v>
      </c>
      <c r="EA72" t="s">
        <v>3</v>
      </c>
      <c r="EB72" t="s">
        <v>3</v>
      </c>
      <c r="EC72" t="s">
        <v>3</v>
      </c>
      <c r="EE72">
        <v>60393196</v>
      </c>
      <c r="EF72">
        <v>3</v>
      </c>
      <c r="EG72" t="s">
        <v>41</v>
      </c>
      <c r="EH72">
        <v>0</v>
      </c>
      <c r="EI72" t="s">
        <v>3</v>
      </c>
      <c r="EJ72">
        <v>2</v>
      </c>
      <c r="EK72">
        <v>108001</v>
      </c>
      <c r="EL72" t="s">
        <v>42</v>
      </c>
      <c r="EM72" t="s">
        <v>43</v>
      </c>
      <c r="EO72" t="s">
        <v>3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70</v>
      </c>
      <c r="EX72">
        <v>0.08</v>
      </c>
      <c r="EY72">
        <v>0</v>
      </c>
      <c r="FQ72">
        <v>0</v>
      </c>
      <c r="FR72">
        <f t="shared" si="44"/>
        <v>0</v>
      </c>
      <c r="FS72">
        <v>0</v>
      </c>
      <c r="FX72">
        <v>97</v>
      </c>
      <c r="FY72">
        <v>51</v>
      </c>
      <c r="GA72" t="s">
        <v>3</v>
      </c>
      <c r="GD72">
        <v>1</v>
      </c>
      <c r="GF72">
        <v>236298748</v>
      </c>
      <c r="GG72">
        <v>2</v>
      </c>
      <c r="GH72">
        <v>1</v>
      </c>
      <c r="GI72">
        <v>-2</v>
      </c>
      <c r="GJ72">
        <v>0</v>
      </c>
      <c r="GK72">
        <v>0</v>
      </c>
      <c r="GL72">
        <f t="shared" si="45"/>
        <v>0</v>
      </c>
      <c r="GM72">
        <f t="shared" si="46"/>
        <v>0</v>
      </c>
      <c r="GN72">
        <f t="shared" si="47"/>
        <v>0</v>
      </c>
      <c r="GO72">
        <f t="shared" si="48"/>
        <v>0</v>
      </c>
      <c r="GP72">
        <f t="shared" si="49"/>
        <v>0</v>
      </c>
      <c r="GR72">
        <v>0</v>
      </c>
      <c r="GS72">
        <v>0</v>
      </c>
      <c r="GT72">
        <v>0</v>
      </c>
      <c r="GU72" t="s">
        <v>3</v>
      </c>
      <c r="GV72">
        <f t="shared" si="50"/>
        <v>0</v>
      </c>
      <c r="GW72">
        <v>1</v>
      </c>
      <c r="GX72">
        <f t="shared" si="51"/>
        <v>0</v>
      </c>
      <c r="HA72">
        <v>0</v>
      </c>
      <c r="HB72">
        <v>0</v>
      </c>
      <c r="HC72">
        <f t="shared" si="52"/>
        <v>0</v>
      </c>
      <c r="HE72" t="s">
        <v>3</v>
      </c>
      <c r="HF72" t="s">
        <v>3</v>
      </c>
      <c r="HM72" t="s">
        <v>3</v>
      </c>
      <c r="HN72" t="s">
        <v>45</v>
      </c>
      <c r="HO72" t="s">
        <v>46</v>
      </c>
      <c r="HP72" t="s">
        <v>42</v>
      </c>
      <c r="HQ72" t="s">
        <v>42</v>
      </c>
      <c r="IK72">
        <v>0</v>
      </c>
    </row>
    <row r="73" spans="1:245" x14ac:dyDescent="0.2">
      <c r="A73">
        <v>17</v>
      </c>
      <c r="B73">
        <v>1</v>
      </c>
      <c r="C73">
        <f>ROW(SmtRes!A105)</f>
        <v>105</v>
      </c>
      <c r="D73">
        <f>ROW(EtalonRes!A105)</f>
        <v>105</v>
      </c>
      <c r="E73" t="s">
        <v>132</v>
      </c>
      <c r="F73" t="s">
        <v>133</v>
      </c>
      <c r="G73" t="s">
        <v>134</v>
      </c>
      <c r="H73" t="s">
        <v>38</v>
      </c>
      <c r="I73">
        <v>0</v>
      </c>
      <c r="J73">
        <v>0</v>
      </c>
      <c r="K73">
        <v>0</v>
      </c>
      <c r="O73">
        <f t="shared" si="31"/>
        <v>0</v>
      </c>
      <c r="P73">
        <f>SUMIF(SmtRes!AQ104:'SmtRes'!AQ105,"=1",SmtRes!DF104:'SmtRes'!DF105)</f>
        <v>0</v>
      </c>
      <c r="Q73">
        <f>SUMIF(SmtRes!AQ104:'SmtRes'!AQ105,"=1",SmtRes!DG104:'SmtRes'!DG105)</f>
        <v>0</v>
      </c>
      <c r="R73">
        <f>SUMIF(SmtRes!AQ104:'SmtRes'!AQ105,"=1",SmtRes!DH104:'SmtRes'!DH105)</f>
        <v>0</v>
      </c>
      <c r="S73">
        <f>SUMIF(SmtRes!AQ104:'SmtRes'!AQ105,"=1",SmtRes!DI104:'SmtRes'!DI105)</f>
        <v>0</v>
      </c>
      <c r="T73">
        <f t="shared" si="32"/>
        <v>0</v>
      </c>
      <c r="U73">
        <f>SUMIF(SmtRes!AQ104:'SmtRes'!AQ105,"=1",SmtRes!CV104:'SmtRes'!CV105)</f>
        <v>0</v>
      </c>
      <c r="V73">
        <f>SUMIF(SmtRes!AQ104:'SmtRes'!AQ105,"=1",SmtRes!CW104:'SmtRes'!CW105)</f>
        <v>0</v>
      </c>
      <c r="W73">
        <f t="shared" si="33"/>
        <v>0</v>
      </c>
      <c r="X73">
        <f t="shared" si="34"/>
        <v>0</v>
      </c>
      <c r="Y73">
        <f t="shared" si="35"/>
        <v>0</v>
      </c>
      <c r="AA73">
        <v>61635504</v>
      </c>
      <c r="AB73">
        <f t="shared" si="36"/>
        <v>4085.0880000000002</v>
      </c>
      <c r="AC73">
        <f>ROUND((0),6)</f>
        <v>0</v>
      </c>
      <c r="AD73">
        <f>ROUND((((0)-(0))+AE73),6)</f>
        <v>0</v>
      </c>
      <c r="AE73">
        <f>ROUND((0),6)</f>
        <v>0</v>
      </c>
      <c r="AF73">
        <f>ROUND((SUM(SmtRes!BT104:'SmtRes'!BT105)),6)</f>
        <v>4085.0880000000002</v>
      </c>
      <c r="AG73">
        <f t="shared" si="37"/>
        <v>0</v>
      </c>
      <c r="AH73">
        <f>(SUM(SmtRes!BU104:'SmtRes'!BU105))</f>
        <v>9.6</v>
      </c>
      <c r="AI73">
        <f>(0)</f>
        <v>0</v>
      </c>
      <c r="AJ73">
        <f t="shared" si="38"/>
        <v>0</v>
      </c>
      <c r="AK73">
        <v>4085.0879999999997</v>
      </c>
      <c r="AL73">
        <v>0</v>
      </c>
      <c r="AM73">
        <v>0</v>
      </c>
      <c r="AN73">
        <v>0</v>
      </c>
      <c r="AO73">
        <v>4085.0879999999997</v>
      </c>
      <c r="AP73">
        <v>0</v>
      </c>
      <c r="AQ73">
        <v>9.6</v>
      </c>
      <c r="AR73">
        <v>0</v>
      </c>
      <c r="AS73">
        <v>0</v>
      </c>
      <c r="AT73">
        <v>97</v>
      </c>
      <c r="AU73">
        <v>51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2</v>
      </c>
      <c r="BJ73" t="s">
        <v>135</v>
      </c>
      <c r="BM73">
        <v>108001</v>
      </c>
      <c r="BN73">
        <v>0</v>
      </c>
      <c r="BO73" t="s">
        <v>3</v>
      </c>
      <c r="BP73">
        <v>0</v>
      </c>
      <c r="BQ73">
        <v>3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97</v>
      </c>
      <c r="CA73">
        <v>51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39"/>
        <v>0</v>
      </c>
      <c r="CQ73">
        <f>SUMIF(SmtRes!AQ104:'SmtRes'!AQ105,"=1",SmtRes!AA104:'SmtRes'!AA105)</f>
        <v>0</v>
      </c>
      <c r="CR73">
        <f>SUMIF(SmtRes!AQ104:'SmtRes'!AQ105,"=1",SmtRes!AB104:'SmtRes'!AB105)</f>
        <v>0</v>
      </c>
      <c r="CS73">
        <f>SUMIF(SmtRes!AQ104:'SmtRes'!AQ105,"=1",SmtRes!AC104:'SmtRes'!AC105)</f>
        <v>0</v>
      </c>
      <c r="CT73">
        <f>SUMIF(SmtRes!AQ104:'SmtRes'!AQ105,"=1",SmtRes!AD104:'SmtRes'!AD105)</f>
        <v>425.53</v>
      </c>
      <c r="CU73">
        <f t="shared" si="40"/>
        <v>0</v>
      </c>
      <c r="CV73">
        <f>SUMIF(SmtRes!AQ104:'SmtRes'!AQ105,"=1",SmtRes!BU104:'SmtRes'!BU105)</f>
        <v>9.6</v>
      </c>
      <c r="CW73">
        <f>SUMIF(SmtRes!AQ104:'SmtRes'!AQ105,"=1",SmtRes!BV104:'SmtRes'!BV105)</f>
        <v>0</v>
      </c>
      <c r="CX73">
        <f t="shared" si="41"/>
        <v>0</v>
      </c>
      <c r="CY73">
        <f t="shared" si="42"/>
        <v>0</v>
      </c>
      <c r="CZ73">
        <f t="shared" si="43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38</v>
      </c>
      <c r="DW73" t="s">
        <v>38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60393196</v>
      </c>
      <c r="EF73">
        <v>3</v>
      </c>
      <c r="EG73" t="s">
        <v>41</v>
      </c>
      <c r="EH73">
        <v>0</v>
      </c>
      <c r="EI73" t="s">
        <v>3</v>
      </c>
      <c r="EJ73">
        <v>2</v>
      </c>
      <c r="EK73">
        <v>108001</v>
      </c>
      <c r="EL73" t="s">
        <v>42</v>
      </c>
      <c r="EM73" t="s">
        <v>43</v>
      </c>
      <c r="EO73" t="s">
        <v>3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9.6</v>
      </c>
      <c r="EX73">
        <v>0</v>
      </c>
      <c r="EY73">
        <v>0</v>
      </c>
      <c r="FQ73">
        <v>0</v>
      </c>
      <c r="FR73">
        <f t="shared" si="44"/>
        <v>0</v>
      </c>
      <c r="FS73">
        <v>0</v>
      </c>
      <c r="FX73">
        <v>97</v>
      </c>
      <c r="FY73">
        <v>51</v>
      </c>
      <c r="GA73" t="s">
        <v>3</v>
      </c>
      <c r="GD73">
        <v>1</v>
      </c>
      <c r="GF73">
        <v>-1199858750</v>
      </c>
      <c r="GG73">
        <v>2</v>
      </c>
      <c r="GH73">
        <v>1</v>
      </c>
      <c r="GI73">
        <v>-2</v>
      </c>
      <c r="GJ73">
        <v>0</v>
      </c>
      <c r="GK73">
        <v>0</v>
      </c>
      <c r="GL73">
        <f t="shared" si="45"/>
        <v>0</v>
      </c>
      <c r="GM73">
        <f t="shared" si="46"/>
        <v>0</v>
      </c>
      <c r="GN73">
        <f t="shared" si="47"/>
        <v>0</v>
      </c>
      <c r="GO73">
        <f t="shared" si="48"/>
        <v>0</v>
      </c>
      <c r="GP73">
        <f t="shared" si="49"/>
        <v>0</v>
      </c>
      <c r="GR73">
        <v>0</v>
      </c>
      <c r="GS73">
        <v>0</v>
      </c>
      <c r="GT73">
        <v>0</v>
      </c>
      <c r="GU73" t="s">
        <v>3</v>
      </c>
      <c r="GV73">
        <f t="shared" si="50"/>
        <v>0</v>
      </c>
      <c r="GW73">
        <v>1</v>
      </c>
      <c r="GX73">
        <f t="shared" si="51"/>
        <v>0</v>
      </c>
      <c r="HA73">
        <v>0</v>
      </c>
      <c r="HB73">
        <v>0</v>
      </c>
      <c r="HC73">
        <f t="shared" si="52"/>
        <v>0</v>
      </c>
      <c r="HE73" t="s">
        <v>3</v>
      </c>
      <c r="HF73" t="s">
        <v>3</v>
      </c>
      <c r="HM73" t="s">
        <v>3</v>
      </c>
      <c r="HN73" t="s">
        <v>45</v>
      </c>
      <c r="HO73" t="s">
        <v>46</v>
      </c>
      <c r="HP73" t="s">
        <v>42</v>
      </c>
      <c r="HQ73" t="s">
        <v>42</v>
      </c>
      <c r="IK73">
        <v>0</v>
      </c>
    </row>
    <row r="74" spans="1:245" x14ac:dyDescent="0.2">
      <c r="A74">
        <v>17</v>
      </c>
      <c r="B74">
        <v>1</v>
      </c>
      <c r="C74">
        <f>ROW(SmtRes!A113)</f>
        <v>113</v>
      </c>
      <c r="D74">
        <f>ROW(EtalonRes!A113)</f>
        <v>113</v>
      </c>
      <c r="E74" t="s">
        <v>136</v>
      </c>
      <c r="F74" t="s">
        <v>137</v>
      </c>
      <c r="G74" t="s">
        <v>138</v>
      </c>
      <c r="H74" t="s">
        <v>139</v>
      </c>
      <c r="I74">
        <v>0</v>
      </c>
      <c r="J74">
        <v>0</v>
      </c>
      <c r="K74">
        <v>0</v>
      </c>
      <c r="O74">
        <f t="shared" si="31"/>
        <v>0</v>
      </c>
      <c r="P74">
        <f>SUMIF(SmtRes!AQ106:'SmtRes'!AQ113,"=1",SmtRes!DF106:'SmtRes'!DF113)</f>
        <v>0</v>
      </c>
      <c r="Q74">
        <f>SUMIF(SmtRes!AQ106:'SmtRes'!AQ113,"=1",SmtRes!DG106:'SmtRes'!DG113)</f>
        <v>0</v>
      </c>
      <c r="R74">
        <f>SUMIF(SmtRes!AQ106:'SmtRes'!AQ113,"=1",SmtRes!DH106:'SmtRes'!DH113)</f>
        <v>0</v>
      </c>
      <c r="S74">
        <f>SUMIF(SmtRes!AQ106:'SmtRes'!AQ113,"=1",SmtRes!DI106:'SmtRes'!DI113)</f>
        <v>0</v>
      </c>
      <c r="T74">
        <f t="shared" si="32"/>
        <v>0</v>
      </c>
      <c r="U74">
        <f>SUMIF(SmtRes!AQ106:'SmtRes'!AQ113,"=1",SmtRes!CV106:'SmtRes'!CV113)</f>
        <v>0</v>
      </c>
      <c r="V74">
        <f>SUMIF(SmtRes!AQ106:'SmtRes'!AQ113,"=1",SmtRes!CW106:'SmtRes'!CW113)</f>
        <v>0</v>
      </c>
      <c r="W74">
        <f t="shared" si="33"/>
        <v>0</v>
      </c>
      <c r="X74">
        <f t="shared" si="34"/>
        <v>0</v>
      </c>
      <c r="Y74">
        <f t="shared" si="35"/>
        <v>0</v>
      </c>
      <c r="AA74">
        <v>61635504</v>
      </c>
      <c r="AB74">
        <f t="shared" si="36"/>
        <v>6237.4070000000002</v>
      </c>
      <c r="AC74">
        <f>ROUND((SUM(SmtRes!BQ106:'SmtRes'!BQ113)),6)</f>
        <v>1924.2795000000001</v>
      </c>
      <c r="AD74">
        <f>ROUND((((SUM(SmtRes!BR106:'SmtRes'!BR113))-(SUM(SmtRes!BS106:'SmtRes'!BS113)))+AE74),6)</f>
        <v>368.46440000000001</v>
      </c>
      <c r="AE74">
        <f>ROUND((SUM(SmtRes!BS106:'SmtRes'!BS113)),6)</f>
        <v>173.39320000000001</v>
      </c>
      <c r="AF74">
        <f>ROUND((SUM(SmtRes!BT106:'SmtRes'!BT113)),6)</f>
        <v>3944.6631000000002</v>
      </c>
      <c r="AG74">
        <f t="shared" si="37"/>
        <v>0</v>
      </c>
      <c r="AH74">
        <f>(SUM(SmtRes!BU106:'SmtRes'!BU113))</f>
        <v>9.27</v>
      </c>
      <c r="AI74">
        <f>(SUM(SmtRes!BV106:'SmtRes'!BV113))</f>
        <v>0.34</v>
      </c>
      <c r="AJ74">
        <f t="shared" si="38"/>
        <v>0</v>
      </c>
      <c r="AK74">
        <v>6410.8001999999997</v>
      </c>
      <c r="AL74">
        <v>1924.2794999999999</v>
      </c>
      <c r="AM74">
        <v>368.46440000000001</v>
      </c>
      <c r="AN74">
        <v>173.39320000000004</v>
      </c>
      <c r="AO74">
        <v>3944.6630999999998</v>
      </c>
      <c r="AP74">
        <v>0</v>
      </c>
      <c r="AQ74">
        <v>9.27</v>
      </c>
      <c r="AR74">
        <v>0.34</v>
      </c>
      <c r="AS74">
        <v>0</v>
      </c>
      <c r="AT74">
        <v>97</v>
      </c>
      <c r="AU74">
        <v>51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2</v>
      </c>
      <c r="BJ74" t="s">
        <v>140</v>
      </c>
      <c r="BM74">
        <v>108001</v>
      </c>
      <c r="BN74">
        <v>0</v>
      </c>
      <c r="BO74" t="s">
        <v>3</v>
      </c>
      <c r="BP74">
        <v>0</v>
      </c>
      <c r="BQ74">
        <v>3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97</v>
      </c>
      <c r="CA74">
        <v>51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39"/>
        <v>0</v>
      </c>
      <c r="CQ74">
        <f>SUMIF(SmtRes!AQ106:'SmtRes'!AQ113,"=1",SmtRes!AA106:'SmtRes'!AA113)</f>
        <v>1196.1399999999999</v>
      </c>
      <c r="CR74">
        <f>SUMIF(SmtRes!AQ106:'SmtRes'!AQ113,"=1",SmtRes!AB106:'SmtRes'!AB113)</f>
        <v>2054.4</v>
      </c>
      <c r="CS74">
        <f>SUMIF(SmtRes!AQ106:'SmtRes'!AQ113,"=1",SmtRes!AC106:'SmtRes'!AC113)</f>
        <v>1019.96</v>
      </c>
      <c r="CT74">
        <f>SUMIF(SmtRes!AQ106:'SmtRes'!AQ113,"=1",SmtRes!AD106:'SmtRes'!AD113)</f>
        <v>425.53</v>
      </c>
      <c r="CU74">
        <f t="shared" si="40"/>
        <v>0</v>
      </c>
      <c r="CV74">
        <f>SUMIF(SmtRes!AQ106:'SmtRes'!AQ113,"=1",SmtRes!BU106:'SmtRes'!BU113)</f>
        <v>9.27</v>
      </c>
      <c r="CW74">
        <f>SUMIF(SmtRes!AQ106:'SmtRes'!AQ113,"=1",SmtRes!BV106:'SmtRes'!BV113)</f>
        <v>0.34</v>
      </c>
      <c r="CX74">
        <f t="shared" si="41"/>
        <v>0</v>
      </c>
      <c r="CY74">
        <f t="shared" si="42"/>
        <v>0</v>
      </c>
      <c r="CZ74">
        <f t="shared" si="43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139</v>
      </c>
      <c r="DW74" t="s">
        <v>139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60393196</v>
      </c>
      <c r="EF74">
        <v>3</v>
      </c>
      <c r="EG74" t="s">
        <v>41</v>
      </c>
      <c r="EH74">
        <v>0</v>
      </c>
      <c r="EI74" t="s">
        <v>3</v>
      </c>
      <c r="EJ74">
        <v>2</v>
      </c>
      <c r="EK74">
        <v>108001</v>
      </c>
      <c r="EL74" t="s">
        <v>42</v>
      </c>
      <c r="EM74" t="s">
        <v>43</v>
      </c>
      <c r="EO74" t="s">
        <v>3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9.27</v>
      </c>
      <c r="EX74">
        <v>0.34</v>
      </c>
      <c r="EY74">
        <v>0</v>
      </c>
      <c r="FQ74">
        <v>0</v>
      </c>
      <c r="FR74">
        <f t="shared" si="44"/>
        <v>0</v>
      </c>
      <c r="FS74">
        <v>0</v>
      </c>
      <c r="FX74">
        <v>97</v>
      </c>
      <c r="FY74">
        <v>51</v>
      </c>
      <c r="GA74" t="s">
        <v>3</v>
      </c>
      <c r="GD74">
        <v>1</v>
      </c>
      <c r="GF74">
        <v>2104746302</v>
      </c>
      <c r="GG74">
        <v>2</v>
      </c>
      <c r="GH74">
        <v>1</v>
      </c>
      <c r="GI74">
        <v>-2</v>
      </c>
      <c r="GJ74">
        <v>0</v>
      </c>
      <c r="GK74">
        <v>0</v>
      </c>
      <c r="GL74">
        <f t="shared" si="45"/>
        <v>0</v>
      </c>
      <c r="GM74">
        <f t="shared" si="46"/>
        <v>0</v>
      </c>
      <c r="GN74">
        <f t="shared" si="47"/>
        <v>0</v>
      </c>
      <c r="GO74">
        <f t="shared" si="48"/>
        <v>0</v>
      </c>
      <c r="GP74">
        <f t="shared" si="49"/>
        <v>0</v>
      </c>
      <c r="GR74">
        <v>0</v>
      </c>
      <c r="GS74">
        <v>0</v>
      </c>
      <c r="GT74">
        <v>0</v>
      </c>
      <c r="GU74" t="s">
        <v>3</v>
      </c>
      <c r="GV74">
        <f t="shared" si="50"/>
        <v>0</v>
      </c>
      <c r="GW74">
        <v>1</v>
      </c>
      <c r="GX74">
        <f t="shared" si="51"/>
        <v>0</v>
      </c>
      <c r="HA74">
        <v>0</v>
      </c>
      <c r="HB74">
        <v>0</v>
      </c>
      <c r="HC74">
        <f t="shared" si="52"/>
        <v>0</v>
      </c>
      <c r="HE74" t="s">
        <v>3</v>
      </c>
      <c r="HF74" t="s">
        <v>3</v>
      </c>
      <c r="HM74" t="s">
        <v>3</v>
      </c>
      <c r="HN74" t="s">
        <v>45</v>
      </c>
      <c r="HO74" t="s">
        <v>46</v>
      </c>
      <c r="HP74" t="s">
        <v>42</v>
      </c>
      <c r="HQ74" t="s">
        <v>42</v>
      </c>
      <c r="IK74">
        <v>0</v>
      </c>
    </row>
    <row r="75" spans="1:245" x14ac:dyDescent="0.2">
      <c r="A75">
        <v>17</v>
      </c>
      <c r="B75">
        <v>1</v>
      </c>
      <c r="C75">
        <f>ROW(SmtRes!A122)</f>
        <v>122</v>
      </c>
      <c r="D75">
        <f>ROW(EtalonRes!A122)</f>
        <v>122</v>
      </c>
      <c r="E75" t="s">
        <v>141</v>
      </c>
      <c r="F75" t="s">
        <v>142</v>
      </c>
      <c r="G75" t="s">
        <v>143</v>
      </c>
      <c r="H75" t="s">
        <v>111</v>
      </c>
      <c r="I75">
        <v>0</v>
      </c>
      <c r="J75">
        <v>0</v>
      </c>
      <c r="K75">
        <v>0</v>
      </c>
      <c r="O75">
        <f t="shared" si="31"/>
        <v>0</v>
      </c>
      <c r="P75">
        <f>SUMIF(SmtRes!AQ114:'SmtRes'!AQ122,"=1",SmtRes!DF114:'SmtRes'!DF122)</f>
        <v>0</v>
      </c>
      <c r="Q75">
        <f>SUMIF(SmtRes!AQ114:'SmtRes'!AQ122,"=1",SmtRes!DG114:'SmtRes'!DG122)</f>
        <v>0</v>
      </c>
      <c r="R75">
        <f>SUMIF(SmtRes!AQ114:'SmtRes'!AQ122,"=1",SmtRes!DH114:'SmtRes'!DH122)</f>
        <v>0</v>
      </c>
      <c r="S75">
        <f>SUMIF(SmtRes!AQ114:'SmtRes'!AQ122,"=1",SmtRes!DI114:'SmtRes'!DI122)</f>
        <v>0</v>
      </c>
      <c r="T75">
        <f t="shared" si="32"/>
        <v>0</v>
      </c>
      <c r="U75">
        <f>SUMIF(SmtRes!AQ114:'SmtRes'!AQ122,"=1",SmtRes!CV114:'SmtRes'!CV122)</f>
        <v>0</v>
      </c>
      <c r="V75">
        <f>SUMIF(SmtRes!AQ114:'SmtRes'!AQ122,"=1",SmtRes!CW114:'SmtRes'!CW122)</f>
        <v>0</v>
      </c>
      <c r="W75">
        <f t="shared" si="33"/>
        <v>0</v>
      </c>
      <c r="X75">
        <f t="shared" si="34"/>
        <v>0</v>
      </c>
      <c r="Y75">
        <f t="shared" si="35"/>
        <v>0</v>
      </c>
      <c r="AA75">
        <v>61635504</v>
      </c>
      <c r="AB75">
        <f t="shared" si="36"/>
        <v>9963.2559999999994</v>
      </c>
      <c r="AC75">
        <f>ROUND((SUM(SmtRes!BQ114:'SmtRes'!BQ122)),6)</f>
        <v>2247.7130000000002</v>
      </c>
      <c r="AD75">
        <f>ROUND((((SUM(SmtRes!BR114:'SmtRes'!BR122))-(SUM(SmtRes!BS114:'SmtRes'!BS122)))+AE75),6)</f>
        <v>268.76799999999997</v>
      </c>
      <c r="AE75">
        <f>ROUND((SUM(SmtRes!BS114:'SmtRes'!BS122)),6)</f>
        <v>101.996</v>
      </c>
      <c r="AF75">
        <f>ROUND((SUM(SmtRes!BT114:'SmtRes'!BT122)),6)</f>
        <v>7446.7749999999996</v>
      </c>
      <c r="AG75">
        <f t="shared" si="37"/>
        <v>0</v>
      </c>
      <c r="AH75">
        <f>(SUM(SmtRes!BU114:'SmtRes'!BU122))</f>
        <v>17.5</v>
      </c>
      <c r="AI75">
        <f>(SUM(SmtRes!BV114:'SmtRes'!BV122))</f>
        <v>0.2</v>
      </c>
      <c r="AJ75">
        <f t="shared" si="38"/>
        <v>0</v>
      </c>
      <c r="AK75">
        <v>10065.251999999999</v>
      </c>
      <c r="AL75">
        <v>2247.7129999999997</v>
      </c>
      <c r="AM75">
        <v>268.76800000000003</v>
      </c>
      <c r="AN75">
        <v>101.99600000000001</v>
      </c>
      <c r="AO75">
        <v>7446.7749999999996</v>
      </c>
      <c r="AP75">
        <v>0</v>
      </c>
      <c r="AQ75">
        <v>17.5</v>
      </c>
      <c r="AR75">
        <v>0.2</v>
      </c>
      <c r="AS75">
        <v>0</v>
      </c>
      <c r="AT75">
        <v>97</v>
      </c>
      <c r="AU75">
        <v>51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2</v>
      </c>
      <c r="BJ75" t="s">
        <v>144</v>
      </c>
      <c r="BM75">
        <v>108001</v>
      </c>
      <c r="BN75">
        <v>0</v>
      </c>
      <c r="BO75" t="s">
        <v>3</v>
      </c>
      <c r="BP75">
        <v>0</v>
      </c>
      <c r="BQ75">
        <v>3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97</v>
      </c>
      <c r="CA75">
        <v>51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39"/>
        <v>0</v>
      </c>
      <c r="CQ75">
        <f>SUMIF(SmtRes!AQ114:'SmtRes'!AQ122,"=1",SmtRes!AA114:'SmtRes'!AA122)</f>
        <v>64503.18</v>
      </c>
      <c r="CR75">
        <f>SUMIF(SmtRes!AQ114:'SmtRes'!AQ122,"=1",SmtRes!AB114:'SmtRes'!AB122)</f>
        <v>2054.4</v>
      </c>
      <c r="CS75">
        <f>SUMIF(SmtRes!AQ114:'SmtRes'!AQ122,"=1",SmtRes!AC114:'SmtRes'!AC122)</f>
        <v>1019.96</v>
      </c>
      <c r="CT75">
        <f>SUMIF(SmtRes!AQ114:'SmtRes'!AQ122,"=1",SmtRes!AD114:'SmtRes'!AD122)</f>
        <v>425.53</v>
      </c>
      <c r="CU75">
        <f t="shared" si="40"/>
        <v>0</v>
      </c>
      <c r="CV75">
        <f>SUMIF(SmtRes!AQ114:'SmtRes'!AQ122,"=1",SmtRes!BU114:'SmtRes'!BU122)</f>
        <v>17.5</v>
      </c>
      <c r="CW75">
        <f>SUMIF(SmtRes!AQ114:'SmtRes'!AQ122,"=1",SmtRes!BV114:'SmtRes'!BV122)</f>
        <v>0.2</v>
      </c>
      <c r="CX75">
        <f t="shared" si="41"/>
        <v>0</v>
      </c>
      <c r="CY75">
        <f t="shared" si="42"/>
        <v>0</v>
      </c>
      <c r="CZ75">
        <f t="shared" si="43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1003</v>
      </c>
      <c r="DV75" t="s">
        <v>111</v>
      </c>
      <c r="DW75" t="s">
        <v>111</v>
      </c>
      <c r="DX75">
        <v>100</v>
      </c>
      <c r="DZ75" t="s">
        <v>3</v>
      </c>
      <c r="EA75" t="s">
        <v>3</v>
      </c>
      <c r="EB75" t="s">
        <v>3</v>
      </c>
      <c r="EC75" t="s">
        <v>3</v>
      </c>
      <c r="EE75">
        <v>60393196</v>
      </c>
      <c r="EF75">
        <v>3</v>
      </c>
      <c r="EG75" t="s">
        <v>41</v>
      </c>
      <c r="EH75">
        <v>0</v>
      </c>
      <c r="EI75" t="s">
        <v>3</v>
      </c>
      <c r="EJ75">
        <v>2</v>
      </c>
      <c r="EK75">
        <v>108001</v>
      </c>
      <c r="EL75" t="s">
        <v>42</v>
      </c>
      <c r="EM75" t="s">
        <v>43</v>
      </c>
      <c r="EO75" t="s">
        <v>3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17.5</v>
      </c>
      <c r="EX75">
        <v>0.2</v>
      </c>
      <c r="EY75">
        <v>0</v>
      </c>
      <c r="FQ75">
        <v>0</v>
      </c>
      <c r="FR75">
        <f t="shared" si="44"/>
        <v>0</v>
      </c>
      <c r="FS75">
        <v>0</v>
      </c>
      <c r="FX75">
        <v>97</v>
      </c>
      <c r="FY75">
        <v>51</v>
      </c>
      <c r="GA75" t="s">
        <v>3</v>
      </c>
      <c r="GD75">
        <v>1</v>
      </c>
      <c r="GF75">
        <v>-725981969</v>
      </c>
      <c r="GG75">
        <v>2</v>
      </c>
      <c r="GH75">
        <v>1</v>
      </c>
      <c r="GI75">
        <v>-2</v>
      </c>
      <c r="GJ75">
        <v>0</v>
      </c>
      <c r="GK75">
        <v>0</v>
      </c>
      <c r="GL75">
        <f t="shared" si="45"/>
        <v>0</v>
      </c>
      <c r="GM75">
        <f t="shared" si="46"/>
        <v>0</v>
      </c>
      <c r="GN75">
        <f t="shared" si="47"/>
        <v>0</v>
      </c>
      <c r="GO75">
        <f t="shared" si="48"/>
        <v>0</v>
      </c>
      <c r="GP75">
        <f t="shared" si="49"/>
        <v>0</v>
      </c>
      <c r="GR75">
        <v>0</v>
      </c>
      <c r="GS75">
        <v>0</v>
      </c>
      <c r="GT75">
        <v>0</v>
      </c>
      <c r="GU75" t="s">
        <v>3</v>
      </c>
      <c r="GV75">
        <f t="shared" si="50"/>
        <v>0</v>
      </c>
      <c r="GW75">
        <v>1</v>
      </c>
      <c r="GX75">
        <f t="shared" si="51"/>
        <v>0</v>
      </c>
      <c r="HA75">
        <v>0</v>
      </c>
      <c r="HB75">
        <v>0</v>
      </c>
      <c r="HC75">
        <f t="shared" si="52"/>
        <v>0</v>
      </c>
      <c r="HE75" t="s">
        <v>3</v>
      </c>
      <c r="HF75" t="s">
        <v>3</v>
      </c>
      <c r="HM75" t="s">
        <v>3</v>
      </c>
      <c r="HN75" t="s">
        <v>45</v>
      </c>
      <c r="HO75" t="s">
        <v>46</v>
      </c>
      <c r="HP75" t="s">
        <v>42</v>
      </c>
      <c r="HQ75" t="s">
        <v>42</v>
      </c>
      <c r="IK75">
        <v>0</v>
      </c>
    </row>
    <row r="76" spans="1:245" x14ac:dyDescent="0.2">
      <c r="A76">
        <v>17</v>
      </c>
      <c r="B76">
        <v>1</v>
      </c>
      <c r="C76">
        <f>ROW(SmtRes!A131)</f>
        <v>131</v>
      </c>
      <c r="D76">
        <f>ROW(EtalonRes!A131)</f>
        <v>131</v>
      </c>
      <c r="E76" t="s">
        <v>145</v>
      </c>
      <c r="F76" t="s">
        <v>146</v>
      </c>
      <c r="G76" t="s">
        <v>147</v>
      </c>
      <c r="H76" t="s">
        <v>111</v>
      </c>
      <c r="I76">
        <v>0</v>
      </c>
      <c r="J76">
        <v>0</v>
      </c>
      <c r="K76">
        <v>0</v>
      </c>
      <c r="O76">
        <f t="shared" si="31"/>
        <v>0</v>
      </c>
      <c r="P76">
        <f>SUMIF(SmtRes!AQ123:'SmtRes'!AQ131,"=1",SmtRes!DF123:'SmtRes'!DF131)</f>
        <v>0</v>
      </c>
      <c r="Q76">
        <f>SUMIF(SmtRes!AQ123:'SmtRes'!AQ131,"=1",SmtRes!DG123:'SmtRes'!DG131)</f>
        <v>0</v>
      </c>
      <c r="R76">
        <f>SUMIF(SmtRes!AQ123:'SmtRes'!AQ131,"=1",SmtRes!DH123:'SmtRes'!DH131)</f>
        <v>0</v>
      </c>
      <c r="S76">
        <f>SUMIF(SmtRes!AQ123:'SmtRes'!AQ131,"=1",SmtRes!DI123:'SmtRes'!DI131)</f>
        <v>0</v>
      </c>
      <c r="T76">
        <f t="shared" si="32"/>
        <v>0</v>
      </c>
      <c r="U76">
        <f>SUMIF(SmtRes!AQ123:'SmtRes'!AQ131,"=1",SmtRes!CV123:'SmtRes'!CV131)</f>
        <v>0</v>
      </c>
      <c r="V76">
        <f>SUMIF(SmtRes!AQ123:'SmtRes'!AQ131,"=1",SmtRes!CW123:'SmtRes'!CW131)</f>
        <v>0</v>
      </c>
      <c r="W76">
        <f t="shared" si="33"/>
        <v>0</v>
      </c>
      <c r="X76">
        <f t="shared" si="34"/>
        <v>0</v>
      </c>
      <c r="Y76">
        <f t="shared" si="35"/>
        <v>0</v>
      </c>
      <c r="AA76">
        <v>61635504</v>
      </c>
      <c r="AB76">
        <f t="shared" si="36"/>
        <v>10889.051799999999</v>
      </c>
      <c r="AC76">
        <f>ROUND((SUM(SmtRes!BQ123:'SmtRes'!BQ131)),6)</f>
        <v>2612.337</v>
      </c>
      <c r="AD76">
        <f>ROUND((((SUM(SmtRes!BR123:'SmtRes'!BR131))-(SUM(SmtRes!BS123:'SmtRes'!BS131)))+AE76),6)</f>
        <v>404.40980000000002</v>
      </c>
      <c r="AE76">
        <f>ROUND((SUM(SmtRes!BS123:'SmtRes'!BS131)),6)</f>
        <v>173.39320000000001</v>
      </c>
      <c r="AF76">
        <f>ROUND((SUM(SmtRes!BT123:'SmtRes'!BT131)),6)</f>
        <v>7872.3050000000003</v>
      </c>
      <c r="AG76">
        <f t="shared" si="37"/>
        <v>0</v>
      </c>
      <c r="AH76">
        <f>(SUM(SmtRes!BU123:'SmtRes'!BU131))</f>
        <v>18.5</v>
      </c>
      <c r="AI76">
        <f>(SUM(SmtRes!BV123:'SmtRes'!BV131))</f>
        <v>0.34</v>
      </c>
      <c r="AJ76">
        <f t="shared" si="38"/>
        <v>0</v>
      </c>
      <c r="AK76">
        <v>11062.445</v>
      </c>
      <c r="AL76">
        <v>2612.3369999999995</v>
      </c>
      <c r="AM76">
        <v>404.40980000000002</v>
      </c>
      <c r="AN76">
        <v>173.39320000000004</v>
      </c>
      <c r="AO76">
        <v>7872.3049999999994</v>
      </c>
      <c r="AP76">
        <v>0</v>
      </c>
      <c r="AQ76">
        <v>18.5</v>
      </c>
      <c r="AR76">
        <v>0.34</v>
      </c>
      <c r="AS76">
        <v>0</v>
      </c>
      <c r="AT76">
        <v>97</v>
      </c>
      <c r="AU76">
        <v>51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2</v>
      </c>
      <c r="BJ76" t="s">
        <v>148</v>
      </c>
      <c r="BM76">
        <v>108001</v>
      </c>
      <c r="BN76">
        <v>0</v>
      </c>
      <c r="BO76" t="s">
        <v>3</v>
      </c>
      <c r="BP76">
        <v>0</v>
      </c>
      <c r="BQ76">
        <v>3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97</v>
      </c>
      <c r="CA76">
        <v>51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39"/>
        <v>0</v>
      </c>
      <c r="CQ76">
        <f>SUMIF(SmtRes!AQ123:'SmtRes'!AQ131,"=1",SmtRes!AA123:'SmtRes'!AA131)</f>
        <v>64503.18</v>
      </c>
      <c r="CR76">
        <f>SUMIF(SmtRes!AQ123:'SmtRes'!AQ131,"=1",SmtRes!AB123:'SmtRes'!AB131)</f>
        <v>2054.4</v>
      </c>
      <c r="CS76">
        <f>SUMIF(SmtRes!AQ123:'SmtRes'!AQ131,"=1",SmtRes!AC123:'SmtRes'!AC131)</f>
        <v>1019.96</v>
      </c>
      <c r="CT76">
        <f>SUMIF(SmtRes!AQ123:'SmtRes'!AQ131,"=1",SmtRes!AD123:'SmtRes'!AD131)</f>
        <v>425.53</v>
      </c>
      <c r="CU76">
        <f t="shared" si="40"/>
        <v>0</v>
      </c>
      <c r="CV76">
        <f>SUMIF(SmtRes!AQ123:'SmtRes'!AQ131,"=1",SmtRes!BU123:'SmtRes'!BU131)</f>
        <v>18.5</v>
      </c>
      <c r="CW76">
        <f>SUMIF(SmtRes!AQ123:'SmtRes'!AQ131,"=1",SmtRes!BV123:'SmtRes'!BV131)</f>
        <v>0.34</v>
      </c>
      <c r="CX76">
        <f t="shared" si="41"/>
        <v>0</v>
      </c>
      <c r="CY76">
        <f t="shared" si="42"/>
        <v>0</v>
      </c>
      <c r="CZ76">
        <f t="shared" si="43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1003</v>
      </c>
      <c r="DV76" t="s">
        <v>111</v>
      </c>
      <c r="DW76" t="s">
        <v>111</v>
      </c>
      <c r="DX76">
        <v>100</v>
      </c>
      <c r="DZ76" t="s">
        <v>3</v>
      </c>
      <c r="EA76" t="s">
        <v>3</v>
      </c>
      <c r="EB76" t="s">
        <v>3</v>
      </c>
      <c r="EC76" t="s">
        <v>3</v>
      </c>
      <c r="EE76">
        <v>60393196</v>
      </c>
      <c r="EF76">
        <v>3</v>
      </c>
      <c r="EG76" t="s">
        <v>41</v>
      </c>
      <c r="EH76">
        <v>0</v>
      </c>
      <c r="EI76" t="s">
        <v>3</v>
      </c>
      <c r="EJ76">
        <v>2</v>
      </c>
      <c r="EK76">
        <v>108001</v>
      </c>
      <c r="EL76" t="s">
        <v>42</v>
      </c>
      <c r="EM76" t="s">
        <v>43</v>
      </c>
      <c r="EO76" t="s">
        <v>3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18.5</v>
      </c>
      <c r="EX76">
        <v>0.34</v>
      </c>
      <c r="EY76">
        <v>0</v>
      </c>
      <c r="FQ76">
        <v>0</v>
      </c>
      <c r="FR76">
        <f t="shared" si="44"/>
        <v>0</v>
      </c>
      <c r="FS76">
        <v>0</v>
      </c>
      <c r="FX76">
        <v>97</v>
      </c>
      <c r="FY76">
        <v>51</v>
      </c>
      <c r="GA76" t="s">
        <v>3</v>
      </c>
      <c r="GD76">
        <v>1</v>
      </c>
      <c r="GF76">
        <v>1065382272</v>
      </c>
      <c r="GG76">
        <v>2</v>
      </c>
      <c r="GH76">
        <v>1</v>
      </c>
      <c r="GI76">
        <v>-2</v>
      </c>
      <c r="GJ76">
        <v>0</v>
      </c>
      <c r="GK76">
        <v>0</v>
      </c>
      <c r="GL76">
        <f t="shared" si="45"/>
        <v>0</v>
      </c>
      <c r="GM76">
        <f t="shared" si="46"/>
        <v>0</v>
      </c>
      <c r="GN76">
        <f t="shared" si="47"/>
        <v>0</v>
      </c>
      <c r="GO76">
        <f t="shared" si="48"/>
        <v>0</v>
      </c>
      <c r="GP76">
        <f t="shared" si="49"/>
        <v>0</v>
      </c>
      <c r="GR76">
        <v>0</v>
      </c>
      <c r="GS76">
        <v>0</v>
      </c>
      <c r="GT76">
        <v>0</v>
      </c>
      <c r="GU76" t="s">
        <v>3</v>
      </c>
      <c r="GV76">
        <f t="shared" si="50"/>
        <v>0</v>
      </c>
      <c r="GW76">
        <v>1</v>
      </c>
      <c r="GX76">
        <f t="shared" si="51"/>
        <v>0</v>
      </c>
      <c r="HA76">
        <v>0</v>
      </c>
      <c r="HB76">
        <v>0</v>
      </c>
      <c r="HC76">
        <f t="shared" si="52"/>
        <v>0</v>
      </c>
      <c r="HE76" t="s">
        <v>3</v>
      </c>
      <c r="HF76" t="s">
        <v>3</v>
      </c>
      <c r="HM76" t="s">
        <v>3</v>
      </c>
      <c r="HN76" t="s">
        <v>45</v>
      </c>
      <c r="HO76" t="s">
        <v>46</v>
      </c>
      <c r="HP76" t="s">
        <v>42</v>
      </c>
      <c r="HQ76" t="s">
        <v>42</v>
      </c>
      <c r="IK76">
        <v>0</v>
      </c>
    </row>
    <row r="78" spans="1:245" x14ac:dyDescent="0.2">
      <c r="A78" s="2">
        <v>51</v>
      </c>
      <c r="B78" s="2">
        <f>B62</f>
        <v>1</v>
      </c>
      <c r="C78" s="2">
        <f>A62</f>
        <v>4</v>
      </c>
      <c r="D78" s="2">
        <f>ROW(A62)</f>
        <v>62</v>
      </c>
      <c r="E78" s="2"/>
      <c r="F78" s="2" t="str">
        <f>IF(F62&lt;&gt;"",F62,"")</f>
        <v>Новый раздел</v>
      </c>
      <c r="G78" s="2" t="str">
        <f>IF(G62&lt;&gt;"",G62,"")</f>
        <v>Монтажные работы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53">ROUND(AB78,2)</f>
        <v>127337.69</v>
      </c>
      <c r="P78" s="2">
        <f t="shared" si="53"/>
        <v>3155.49</v>
      </c>
      <c r="Q78" s="2">
        <f t="shared" si="53"/>
        <v>61131.27</v>
      </c>
      <c r="R78" s="2">
        <f t="shared" si="53"/>
        <v>20725.02</v>
      </c>
      <c r="S78" s="2">
        <f t="shared" si="53"/>
        <v>42325.91</v>
      </c>
      <c r="T78" s="2">
        <f t="shared" si="53"/>
        <v>0</v>
      </c>
      <c r="U78" s="2">
        <f>AH78</f>
        <v>95.775199999999984</v>
      </c>
      <c r="V78" s="2">
        <f>AI78</f>
        <v>37.326899999999995</v>
      </c>
      <c r="W78" s="2">
        <f>ROUND(AJ78,2)</f>
        <v>0</v>
      </c>
      <c r="X78" s="2">
        <f>ROUND(AK78,2)</f>
        <v>62383.26</v>
      </c>
      <c r="Y78" s="2">
        <f>ROUND(AL78,2)</f>
        <v>33991.78</v>
      </c>
      <c r="Z78" s="2"/>
      <c r="AA78" s="2"/>
      <c r="AB78" s="2">
        <f>ROUND(SUMIF(AA66:AA76,"=61635504",O66:O76),2)</f>
        <v>127337.69</v>
      </c>
      <c r="AC78" s="2">
        <f>ROUND(SUMIF(AA66:AA76,"=61635504",P66:P76),2)</f>
        <v>3155.49</v>
      </c>
      <c r="AD78" s="2">
        <f>ROUND(SUMIF(AA66:AA76,"=61635504",Q66:Q76),2)</f>
        <v>61131.27</v>
      </c>
      <c r="AE78" s="2">
        <f>ROUND(SUMIF(AA66:AA76,"=61635504",R66:R76),2)</f>
        <v>20725.02</v>
      </c>
      <c r="AF78" s="2">
        <f>ROUND(SUMIF(AA66:AA76,"=61635504",S66:S76),2)</f>
        <v>42325.91</v>
      </c>
      <c r="AG78" s="2">
        <f>ROUND(SUMIF(AA66:AA76,"=61635504",T66:T76),2)</f>
        <v>0</v>
      </c>
      <c r="AH78" s="2">
        <f>SUMIF(AA66:AA76,"=61635504",U66:U76)</f>
        <v>95.775199999999984</v>
      </c>
      <c r="AI78" s="2">
        <f>SUMIF(AA66:AA76,"=61635504",V66:V76)</f>
        <v>37.326899999999995</v>
      </c>
      <c r="AJ78" s="2">
        <f>ROUND(SUMIF(AA66:AA76,"=61635504",W66:W76),2)</f>
        <v>0</v>
      </c>
      <c r="AK78" s="2">
        <f>ROUND(SUMIF(AA66:AA76,"=61635504",X66:X76),2)</f>
        <v>62383.26</v>
      </c>
      <c r="AL78" s="2">
        <f>ROUND(SUMIF(AA66:AA76,"=61635504",Y66:Y76),2)</f>
        <v>33991.78</v>
      </c>
      <c r="AM78" s="2"/>
      <c r="AN78" s="2"/>
      <c r="AO78" s="2">
        <f t="shared" ref="AO78:BD78" si="54">ROUND(BX78,2)</f>
        <v>0</v>
      </c>
      <c r="AP78" s="2">
        <f t="shared" si="54"/>
        <v>0</v>
      </c>
      <c r="AQ78" s="2">
        <f t="shared" si="54"/>
        <v>0</v>
      </c>
      <c r="AR78" s="2">
        <f t="shared" si="54"/>
        <v>223712.73</v>
      </c>
      <c r="AS78" s="2">
        <f t="shared" si="54"/>
        <v>59229.32</v>
      </c>
      <c r="AT78" s="2">
        <f t="shared" si="54"/>
        <v>164483.41</v>
      </c>
      <c r="AU78" s="2">
        <f t="shared" si="54"/>
        <v>0</v>
      </c>
      <c r="AV78" s="2">
        <f t="shared" si="54"/>
        <v>3155.49</v>
      </c>
      <c r="AW78" s="2">
        <f t="shared" si="54"/>
        <v>3155.49</v>
      </c>
      <c r="AX78" s="2">
        <f t="shared" si="54"/>
        <v>0</v>
      </c>
      <c r="AY78" s="2">
        <f t="shared" si="54"/>
        <v>3155.49</v>
      </c>
      <c r="AZ78" s="2">
        <f t="shared" si="54"/>
        <v>0</v>
      </c>
      <c r="BA78" s="2">
        <f t="shared" si="54"/>
        <v>0</v>
      </c>
      <c r="BB78" s="2">
        <f t="shared" si="54"/>
        <v>0</v>
      </c>
      <c r="BC78" s="2">
        <f t="shared" si="54"/>
        <v>0</v>
      </c>
      <c r="BD78" s="2">
        <f t="shared" si="54"/>
        <v>0</v>
      </c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>
        <f>ROUND(SUMIF(AA66:AA76,"=61635504",FQ66:FQ76),2)</f>
        <v>0</v>
      </c>
      <c r="BY78" s="2">
        <f>ROUND(SUMIF(AA66:AA76,"=61635504",FR66:FR76),2)</f>
        <v>0</v>
      </c>
      <c r="BZ78" s="2">
        <f>ROUND(SUMIF(AA66:AA76,"=61635504",GL66:GL76),2)</f>
        <v>0</v>
      </c>
      <c r="CA78" s="2">
        <f>ROUND(SUMIF(AA66:AA76,"=61635504",GM66:GM76),2)</f>
        <v>223712.73</v>
      </c>
      <c r="CB78" s="2">
        <f>ROUND(SUMIF(AA66:AA76,"=61635504",GN66:GN76),2)</f>
        <v>59229.32</v>
      </c>
      <c r="CC78" s="2">
        <f>ROUND(SUMIF(AA66:AA76,"=61635504",GO66:GO76),2)</f>
        <v>164483.41</v>
      </c>
      <c r="CD78" s="2">
        <f>ROUND(SUMIF(AA66:AA76,"=61635504",GP66:GP76),2)</f>
        <v>0</v>
      </c>
      <c r="CE78" s="2">
        <f>AC78-BX78</f>
        <v>3155.49</v>
      </c>
      <c r="CF78" s="2">
        <f>AC78-BY78</f>
        <v>3155.49</v>
      </c>
      <c r="CG78" s="2">
        <f>BX78-BZ78</f>
        <v>0</v>
      </c>
      <c r="CH78" s="2">
        <f>AC78-BX78-BY78+BZ78</f>
        <v>3155.49</v>
      </c>
      <c r="CI78" s="2">
        <f>BY78-BZ78</f>
        <v>0</v>
      </c>
      <c r="CJ78" s="2">
        <f>ROUND(SUMIF(AA66:AA76,"=61635504",GX66:GX76),2)</f>
        <v>0</v>
      </c>
      <c r="CK78" s="2">
        <f>ROUND(SUMIF(AA66:AA76,"=61635504",GY66:GY76),2)</f>
        <v>0</v>
      </c>
      <c r="CL78" s="2">
        <f>ROUND(SUMIF(AA66:AA76,"=61635504",GZ66:GZ76),2)</f>
        <v>0</v>
      </c>
      <c r="CM78" s="2">
        <f>ROUND(SUMIF(AA66:AA76,"=61635504",HD66:HD76),2)</f>
        <v>0</v>
      </c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201</v>
      </c>
      <c r="F80" s="4">
        <f>ROUND(Source!O78,O80)</f>
        <v>127337.69</v>
      </c>
      <c r="G80" s="4" t="s">
        <v>52</v>
      </c>
      <c r="H80" s="4" t="s">
        <v>53</v>
      </c>
      <c r="I80" s="4"/>
      <c r="J80" s="4"/>
      <c r="K80" s="4">
        <v>201</v>
      </c>
      <c r="L80" s="4">
        <v>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127337.69</v>
      </c>
      <c r="X80" s="4">
        <v>1</v>
      </c>
      <c r="Y80" s="4">
        <v>127337.69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202</v>
      </c>
      <c r="F81" s="4">
        <f>ROUND(Source!P78,O81)</f>
        <v>3155.49</v>
      </c>
      <c r="G81" s="4" t="s">
        <v>54</v>
      </c>
      <c r="H81" s="4" t="s">
        <v>55</v>
      </c>
      <c r="I81" s="4"/>
      <c r="J81" s="4"/>
      <c r="K81" s="4">
        <v>202</v>
      </c>
      <c r="L81" s="4">
        <v>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3155.49</v>
      </c>
      <c r="X81" s="4">
        <v>1</v>
      </c>
      <c r="Y81" s="4">
        <v>3155.49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0</v>
      </c>
      <c r="G82" s="4" t="s">
        <v>56</v>
      </c>
      <c r="H82" s="4" t="s">
        <v>57</v>
      </c>
      <c r="I82" s="4"/>
      <c r="J82" s="4"/>
      <c r="K82" s="4">
        <v>222</v>
      </c>
      <c r="L82" s="4">
        <v>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225</v>
      </c>
      <c r="F83" s="4">
        <f>ROUND(Source!AV78,O83)</f>
        <v>3155.49</v>
      </c>
      <c r="G83" s="4" t="s">
        <v>58</v>
      </c>
      <c r="H83" s="4" t="s">
        <v>59</v>
      </c>
      <c r="I83" s="4"/>
      <c r="J83" s="4"/>
      <c r="K83" s="4">
        <v>225</v>
      </c>
      <c r="L83" s="4">
        <v>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3155.49</v>
      </c>
      <c r="X83" s="4">
        <v>1</v>
      </c>
      <c r="Y83" s="4">
        <v>3155.49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226</v>
      </c>
      <c r="F84" s="4">
        <f>ROUND(Source!AW78,O84)</f>
        <v>3155.49</v>
      </c>
      <c r="G84" s="4" t="s">
        <v>60</v>
      </c>
      <c r="H84" s="4" t="s">
        <v>61</v>
      </c>
      <c r="I84" s="4"/>
      <c r="J84" s="4"/>
      <c r="K84" s="4">
        <v>226</v>
      </c>
      <c r="L84" s="4">
        <v>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3155.49</v>
      </c>
      <c r="X84" s="4">
        <v>1</v>
      </c>
      <c r="Y84" s="4">
        <v>3155.49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227</v>
      </c>
      <c r="F85" s="4">
        <f>ROUND(Source!AX78,O85)</f>
        <v>0</v>
      </c>
      <c r="G85" s="4" t="s">
        <v>62</v>
      </c>
      <c r="H85" s="4" t="s">
        <v>63</v>
      </c>
      <c r="I85" s="4"/>
      <c r="J85" s="4"/>
      <c r="K85" s="4">
        <v>227</v>
      </c>
      <c r="L85" s="4">
        <v>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228</v>
      </c>
      <c r="F86" s="4">
        <f>ROUND(Source!AY78,O86)</f>
        <v>3155.49</v>
      </c>
      <c r="G86" s="4" t="s">
        <v>64</v>
      </c>
      <c r="H86" s="4" t="s">
        <v>65</v>
      </c>
      <c r="I86" s="4"/>
      <c r="J86" s="4"/>
      <c r="K86" s="4">
        <v>228</v>
      </c>
      <c r="L86" s="4">
        <v>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3155.49</v>
      </c>
      <c r="X86" s="4">
        <v>1</v>
      </c>
      <c r="Y86" s="4">
        <v>3155.49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66</v>
      </c>
      <c r="H87" s="4" t="s">
        <v>67</v>
      </c>
      <c r="I87" s="4"/>
      <c r="J87" s="4"/>
      <c r="K87" s="4">
        <v>216</v>
      </c>
      <c r="L87" s="4">
        <v>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68</v>
      </c>
      <c r="H88" s="4" t="s">
        <v>69</v>
      </c>
      <c r="I88" s="4"/>
      <c r="J88" s="4"/>
      <c r="K88" s="4">
        <v>223</v>
      </c>
      <c r="L88" s="4">
        <v>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70</v>
      </c>
      <c r="H89" s="4" t="s">
        <v>71</v>
      </c>
      <c r="I89" s="4"/>
      <c r="J89" s="4"/>
      <c r="K89" s="4">
        <v>229</v>
      </c>
      <c r="L89" s="4">
        <v>10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203</v>
      </c>
      <c r="F90" s="4">
        <f>ROUND(Source!Q78,O90)</f>
        <v>61131.27</v>
      </c>
      <c r="G90" s="4" t="s">
        <v>72</v>
      </c>
      <c r="H90" s="4" t="s">
        <v>73</v>
      </c>
      <c r="I90" s="4"/>
      <c r="J90" s="4"/>
      <c r="K90" s="4">
        <v>203</v>
      </c>
      <c r="L90" s="4">
        <v>11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61131.270000000004</v>
      </c>
      <c r="X90" s="4">
        <v>1</v>
      </c>
      <c r="Y90" s="4">
        <v>61131.270000000004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74</v>
      </c>
      <c r="H91" s="4" t="s">
        <v>75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204</v>
      </c>
      <c r="F92" s="4">
        <f>ROUND(Source!R78,O92)</f>
        <v>20725.02</v>
      </c>
      <c r="G92" s="4" t="s">
        <v>76</v>
      </c>
      <c r="H92" s="4" t="s">
        <v>77</v>
      </c>
      <c r="I92" s="4"/>
      <c r="J92" s="4"/>
      <c r="K92" s="4">
        <v>204</v>
      </c>
      <c r="L92" s="4">
        <v>13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20725.019999999997</v>
      </c>
      <c r="X92" s="4">
        <v>1</v>
      </c>
      <c r="Y92" s="4">
        <v>20725.019999999997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205</v>
      </c>
      <c r="F93" s="4">
        <f>ROUND(Source!S78,O93)</f>
        <v>42325.91</v>
      </c>
      <c r="G93" s="4" t="s">
        <v>78</v>
      </c>
      <c r="H93" s="4" t="s">
        <v>79</v>
      </c>
      <c r="I93" s="4"/>
      <c r="J93" s="4"/>
      <c r="K93" s="4">
        <v>205</v>
      </c>
      <c r="L93" s="4">
        <v>14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42325.909999999996</v>
      </c>
      <c r="X93" s="4">
        <v>1</v>
      </c>
      <c r="Y93" s="4">
        <v>42325.909999999996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80</v>
      </c>
      <c r="H94" s="4" t="s">
        <v>81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214</v>
      </c>
      <c r="F95" s="4">
        <f>ROUND(Source!AS78,O95)</f>
        <v>59229.32</v>
      </c>
      <c r="G95" s="4" t="s">
        <v>82</v>
      </c>
      <c r="H95" s="4" t="s">
        <v>83</v>
      </c>
      <c r="I95" s="4"/>
      <c r="J95" s="4"/>
      <c r="K95" s="4">
        <v>214</v>
      </c>
      <c r="L95" s="4">
        <v>16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59229.32</v>
      </c>
      <c r="X95" s="4">
        <v>1</v>
      </c>
      <c r="Y95" s="4">
        <v>59229.32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164483.41</v>
      </c>
      <c r="G96" s="4" t="s">
        <v>84</v>
      </c>
      <c r="H96" s="4" t="s">
        <v>85</v>
      </c>
      <c r="I96" s="4"/>
      <c r="J96" s="4"/>
      <c r="K96" s="4">
        <v>215</v>
      </c>
      <c r="L96" s="4">
        <v>17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164483.41</v>
      </c>
      <c r="X96" s="4">
        <v>1</v>
      </c>
      <c r="Y96" s="4">
        <v>164483.41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0</v>
      </c>
      <c r="G97" s="4" t="s">
        <v>86</v>
      </c>
      <c r="H97" s="4" t="s">
        <v>87</v>
      </c>
      <c r="I97" s="4"/>
      <c r="J97" s="4"/>
      <c r="K97" s="4">
        <v>217</v>
      </c>
      <c r="L97" s="4">
        <v>18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88</v>
      </c>
      <c r="H98" s="4" t="s">
        <v>89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90</v>
      </c>
      <c r="H99" s="4" t="s">
        <v>91</v>
      </c>
      <c r="I99" s="4"/>
      <c r="J99" s="4"/>
      <c r="K99" s="4">
        <v>206</v>
      </c>
      <c r="L99" s="4">
        <v>20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207</v>
      </c>
      <c r="F100" s="4">
        <f>ROUND(Source!U78,O100)</f>
        <v>95.775199999999998</v>
      </c>
      <c r="G100" s="4" t="s">
        <v>92</v>
      </c>
      <c r="H100" s="4" t="s">
        <v>93</v>
      </c>
      <c r="I100" s="4"/>
      <c r="J100" s="4"/>
      <c r="K100" s="4">
        <v>207</v>
      </c>
      <c r="L100" s="4">
        <v>21</v>
      </c>
      <c r="M100" s="4">
        <v>3</v>
      </c>
      <c r="N100" s="4" t="s">
        <v>3</v>
      </c>
      <c r="O100" s="4">
        <v>7</v>
      </c>
      <c r="P100" s="4"/>
      <c r="Q100" s="4"/>
      <c r="R100" s="4"/>
      <c r="S100" s="4"/>
      <c r="T100" s="4"/>
      <c r="U100" s="4"/>
      <c r="V100" s="4"/>
      <c r="W100" s="4">
        <v>95.775199999999998</v>
      </c>
      <c r="X100" s="4">
        <v>1</v>
      </c>
      <c r="Y100" s="4">
        <v>95.775199999999998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208</v>
      </c>
      <c r="F101" s="4">
        <f>ROUND(Source!V78,O101)</f>
        <v>37.326900000000002</v>
      </c>
      <c r="G101" s="4" t="s">
        <v>94</v>
      </c>
      <c r="H101" s="4" t="s">
        <v>95</v>
      </c>
      <c r="I101" s="4"/>
      <c r="J101" s="4"/>
      <c r="K101" s="4">
        <v>208</v>
      </c>
      <c r="L101" s="4">
        <v>22</v>
      </c>
      <c r="M101" s="4">
        <v>3</v>
      </c>
      <c r="N101" s="4" t="s">
        <v>3</v>
      </c>
      <c r="O101" s="4">
        <v>7</v>
      </c>
      <c r="P101" s="4"/>
      <c r="Q101" s="4"/>
      <c r="R101" s="4"/>
      <c r="S101" s="4"/>
      <c r="T101" s="4"/>
      <c r="U101" s="4"/>
      <c r="V101" s="4"/>
      <c r="W101" s="4">
        <v>37.326900000000002</v>
      </c>
      <c r="X101" s="4">
        <v>1</v>
      </c>
      <c r="Y101" s="4">
        <v>37.326900000000002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96</v>
      </c>
      <c r="H102" s="4" t="s">
        <v>97</v>
      </c>
      <c r="I102" s="4"/>
      <c r="J102" s="4"/>
      <c r="K102" s="4">
        <v>209</v>
      </c>
      <c r="L102" s="4">
        <v>23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233</v>
      </c>
      <c r="F103" s="4">
        <f>ROUND(Source!BD78,O103)</f>
        <v>0</v>
      </c>
      <c r="G103" s="4" t="s">
        <v>98</v>
      </c>
      <c r="H103" s="4" t="s">
        <v>99</v>
      </c>
      <c r="I103" s="4"/>
      <c r="J103" s="4"/>
      <c r="K103" s="4">
        <v>233</v>
      </c>
      <c r="L103" s="4">
        <v>24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210</v>
      </c>
      <c r="F104" s="4">
        <f>ROUND(Source!X78,O104)</f>
        <v>62383.26</v>
      </c>
      <c r="G104" s="4" t="s">
        <v>100</v>
      </c>
      <c r="H104" s="4" t="s">
        <v>101</v>
      </c>
      <c r="I104" s="4"/>
      <c r="J104" s="4"/>
      <c r="K104" s="4">
        <v>210</v>
      </c>
      <c r="L104" s="4">
        <v>25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62383.26</v>
      </c>
      <c r="X104" s="4">
        <v>1</v>
      </c>
      <c r="Y104" s="4">
        <v>62383.26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211</v>
      </c>
      <c r="F105" s="4">
        <f>ROUND(Source!Y78,O105)</f>
        <v>33991.78</v>
      </c>
      <c r="G105" s="4" t="s">
        <v>102</v>
      </c>
      <c r="H105" s="4" t="s">
        <v>103</v>
      </c>
      <c r="I105" s="4"/>
      <c r="J105" s="4"/>
      <c r="K105" s="4">
        <v>211</v>
      </c>
      <c r="L105" s="4">
        <v>26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33991.78</v>
      </c>
      <c r="X105" s="4">
        <v>1</v>
      </c>
      <c r="Y105" s="4">
        <v>33991.78</v>
      </c>
      <c r="Z105" s="4"/>
      <c r="AA105" s="4"/>
      <c r="AB105" s="4"/>
    </row>
    <row r="106" spans="1:245" x14ac:dyDescent="0.2">
      <c r="A106" s="4">
        <v>50</v>
      </c>
      <c r="B106" s="4">
        <v>0</v>
      </c>
      <c r="C106" s="4">
        <v>0</v>
      </c>
      <c r="D106" s="4">
        <v>1</v>
      </c>
      <c r="E106" s="4">
        <v>224</v>
      </c>
      <c r="F106" s="4">
        <f>ROUND(Source!AR78,O106)</f>
        <v>223712.73</v>
      </c>
      <c r="G106" s="4" t="s">
        <v>104</v>
      </c>
      <c r="H106" s="4" t="s">
        <v>105</v>
      </c>
      <c r="I106" s="4"/>
      <c r="J106" s="4"/>
      <c r="K106" s="4">
        <v>224</v>
      </c>
      <c r="L106" s="4">
        <v>27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223712.73</v>
      </c>
      <c r="X106" s="4">
        <v>1</v>
      </c>
      <c r="Y106" s="4">
        <v>223712.73</v>
      </c>
      <c r="Z106" s="4"/>
      <c r="AA106" s="4"/>
      <c r="AB106" s="4"/>
    </row>
    <row r="108" spans="1:245" x14ac:dyDescent="0.2">
      <c r="A108" s="1">
        <v>4</v>
      </c>
      <c r="B108" s="1">
        <v>1</v>
      </c>
      <c r="C108" s="1"/>
      <c r="D108" s="1">
        <f>ROW(A119)</f>
        <v>119</v>
      </c>
      <c r="E108" s="1"/>
      <c r="F108" s="1" t="s">
        <v>18</v>
      </c>
      <c r="G108" s="1" t="s">
        <v>149</v>
      </c>
      <c r="H108" s="1" t="s">
        <v>3</v>
      </c>
      <c r="I108" s="1">
        <v>0</v>
      </c>
      <c r="J108" s="1"/>
      <c r="K108" s="1">
        <v>0</v>
      </c>
      <c r="L108" s="1"/>
      <c r="M108" s="1" t="s">
        <v>3</v>
      </c>
      <c r="N108" s="1"/>
      <c r="O108" s="1"/>
      <c r="P108" s="1"/>
      <c r="Q108" s="1"/>
      <c r="R108" s="1"/>
      <c r="S108" s="1">
        <v>0</v>
      </c>
      <c r="T108" s="1"/>
      <c r="U108" s="1" t="s">
        <v>3</v>
      </c>
      <c r="V108" s="1">
        <v>0</v>
      </c>
      <c r="W108" s="1"/>
      <c r="X108" s="1"/>
      <c r="Y108" s="1"/>
      <c r="Z108" s="1"/>
      <c r="AA108" s="1"/>
      <c r="AB108" s="1" t="s">
        <v>3</v>
      </c>
      <c r="AC108" s="1" t="s">
        <v>3</v>
      </c>
      <c r="AD108" s="1" t="s">
        <v>3</v>
      </c>
      <c r="AE108" s="1" t="s">
        <v>3</v>
      </c>
      <c r="AF108" s="1" t="s">
        <v>3</v>
      </c>
      <c r="AG108" s="1" t="s">
        <v>3</v>
      </c>
      <c r="AH108" s="1"/>
      <c r="AI108" s="1"/>
      <c r="AJ108" s="1"/>
      <c r="AK108" s="1"/>
      <c r="AL108" s="1"/>
      <c r="AM108" s="1"/>
      <c r="AN108" s="1"/>
      <c r="AO108" s="1"/>
      <c r="AP108" s="1" t="s">
        <v>3</v>
      </c>
      <c r="AQ108" s="1" t="s">
        <v>3</v>
      </c>
      <c r="AR108" s="1" t="s">
        <v>3</v>
      </c>
      <c r="AS108" s="1"/>
      <c r="AT108" s="1"/>
      <c r="AU108" s="1"/>
      <c r="AV108" s="1"/>
      <c r="AW108" s="1"/>
      <c r="AX108" s="1"/>
      <c r="AY108" s="1"/>
      <c r="AZ108" s="1" t="s">
        <v>3</v>
      </c>
      <c r="BA108" s="1"/>
      <c r="BB108" s="1" t="s">
        <v>3</v>
      </c>
      <c r="BC108" s="1" t="s">
        <v>3</v>
      </c>
      <c r="BD108" s="1" t="s">
        <v>3</v>
      </c>
      <c r="BE108" s="1" t="s">
        <v>3</v>
      </c>
      <c r="BF108" s="1" t="s">
        <v>3</v>
      </c>
      <c r="BG108" s="1" t="s">
        <v>3</v>
      </c>
      <c r="BH108" s="1" t="s">
        <v>3</v>
      </c>
      <c r="BI108" s="1" t="s">
        <v>3</v>
      </c>
      <c r="BJ108" s="1" t="s">
        <v>3</v>
      </c>
      <c r="BK108" s="1" t="s">
        <v>3</v>
      </c>
      <c r="BL108" s="1" t="s">
        <v>3</v>
      </c>
      <c r="BM108" s="1" t="s">
        <v>3</v>
      </c>
      <c r="BN108" s="1" t="s">
        <v>3</v>
      </c>
      <c r="BO108" s="1" t="s">
        <v>3</v>
      </c>
      <c r="BP108" s="1" t="s">
        <v>3</v>
      </c>
      <c r="BQ108" s="1"/>
      <c r="BR108" s="1"/>
      <c r="BS108" s="1"/>
      <c r="BT108" s="1"/>
      <c r="BU108" s="1"/>
      <c r="BV108" s="1"/>
      <c r="BW108" s="1"/>
      <c r="BX108" s="1">
        <v>0</v>
      </c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>
        <v>0</v>
      </c>
    </row>
    <row r="110" spans="1:245" x14ac:dyDescent="0.2">
      <c r="A110" s="2">
        <v>52</v>
      </c>
      <c r="B110" s="2">
        <f t="shared" ref="B110:G110" si="55">B119</f>
        <v>1</v>
      </c>
      <c r="C110" s="2">
        <f t="shared" si="55"/>
        <v>4</v>
      </c>
      <c r="D110" s="2">
        <f t="shared" si="55"/>
        <v>108</v>
      </c>
      <c r="E110" s="2">
        <f t="shared" si="55"/>
        <v>0</v>
      </c>
      <c r="F110" s="2" t="str">
        <f t="shared" si="55"/>
        <v>Новый раздел</v>
      </c>
      <c r="G110" s="2" t="str">
        <f t="shared" si="55"/>
        <v>Материалы не учтенные ценником</v>
      </c>
      <c r="H110" s="2"/>
      <c r="I110" s="2"/>
      <c r="J110" s="2"/>
      <c r="K110" s="2"/>
      <c r="L110" s="2"/>
      <c r="M110" s="2"/>
      <c r="N110" s="2"/>
      <c r="O110" s="2">
        <f t="shared" ref="O110:AT110" si="56">O119</f>
        <v>76536.41</v>
      </c>
      <c r="P110" s="2">
        <f t="shared" si="56"/>
        <v>76536.41</v>
      </c>
      <c r="Q110" s="2">
        <f t="shared" si="56"/>
        <v>0</v>
      </c>
      <c r="R110" s="2">
        <f t="shared" si="56"/>
        <v>0</v>
      </c>
      <c r="S110" s="2">
        <f t="shared" si="56"/>
        <v>0</v>
      </c>
      <c r="T110" s="2">
        <f t="shared" si="56"/>
        <v>0</v>
      </c>
      <c r="U110" s="2">
        <f t="shared" si="56"/>
        <v>0</v>
      </c>
      <c r="V110" s="2">
        <f t="shared" si="56"/>
        <v>0</v>
      </c>
      <c r="W110" s="2">
        <f t="shared" si="56"/>
        <v>0</v>
      </c>
      <c r="X110" s="2">
        <f t="shared" si="56"/>
        <v>0</v>
      </c>
      <c r="Y110" s="2">
        <f t="shared" si="56"/>
        <v>0</v>
      </c>
      <c r="Z110" s="2">
        <f t="shared" si="56"/>
        <v>0</v>
      </c>
      <c r="AA110" s="2">
        <f t="shared" si="56"/>
        <v>0</v>
      </c>
      <c r="AB110" s="2">
        <f t="shared" si="56"/>
        <v>76536.41</v>
      </c>
      <c r="AC110" s="2">
        <f t="shared" si="56"/>
        <v>76536.41</v>
      </c>
      <c r="AD110" s="2">
        <f t="shared" si="56"/>
        <v>0</v>
      </c>
      <c r="AE110" s="2">
        <f t="shared" si="56"/>
        <v>0</v>
      </c>
      <c r="AF110" s="2">
        <f t="shared" si="56"/>
        <v>0</v>
      </c>
      <c r="AG110" s="2">
        <f t="shared" si="56"/>
        <v>0</v>
      </c>
      <c r="AH110" s="2">
        <f t="shared" si="56"/>
        <v>0</v>
      </c>
      <c r="AI110" s="2">
        <f t="shared" si="56"/>
        <v>0</v>
      </c>
      <c r="AJ110" s="2">
        <f t="shared" si="56"/>
        <v>0</v>
      </c>
      <c r="AK110" s="2">
        <f t="shared" si="56"/>
        <v>0</v>
      </c>
      <c r="AL110" s="2">
        <f t="shared" si="56"/>
        <v>0</v>
      </c>
      <c r="AM110" s="2">
        <f t="shared" si="56"/>
        <v>0</v>
      </c>
      <c r="AN110" s="2">
        <f t="shared" si="56"/>
        <v>0</v>
      </c>
      <c r="AO110" s="2">
        <f t="shared" si="56"/>
        <v>0</v>
      </c>
      <c r="AP110" s="2">
        <f t="shared" si="56"/>
        <v>0</v>
      </c>
      <c r="AQ110" s="2">
        <f t="shared" si="56"/>
        <v>0</v>
      </c>
      <c r="AR110" s="2">
        <f t="shared" si="56"/>
        <v>76536.41</v>
      </c>
      <c r="AS110" s="2">
        <f t="shared" si="56"/>
        <v>210.96</v>
      </c>
      <c r="AT110" s="2">
        <f t="shared" si="56"/>
        <v>76325.45</v>
      </c>
      <c r="AU110" s="2">
        <f t="shared" ref="AU110:BZ110" si="57">AU119</f>
        <v>0</v>
      </c>
      <c r="AV110" s="2">
        <f t="shared" si="57"/>
        <v>76536.41</v>
      </c>
      <c r="AW110" s="2">
        <f t="shared" si="57"/>
        <v>76536.41</v>
      </c>
      <c r="AX110" s="2">
        <f t="shared" si="57"/>
        <v>0</v>
      </c>
      <c r="AY110" s="2">
        <f t="shared" si="57"/>
        <v>76536.41</v>
      </c>
      <c r="AZ110" s="2">
        <f t="shared" si="57"/>
        <v>0</v>
      </c>
      <c r="BA110" s="2">
        <f t="shared" si="57"/>
        <v>0</v>
      </c>
      <c r="BB110" s="2">
        <f t="shared" si="57"/>
        <v>0</v>
      </c>
      <c r="BC110" s="2">
        <f t="shared" si="57"/>
        <v>0</v>
      </c>
      <c r="BD110" s="2">
        <f t="shared" si="57"/>
        <v>0</v>
      </c>
      <c r="BE110" s="2">
        <f t="shared" si="57"/>
        <v>0</v>
      </c>
      <c r="BF110" s="2">
        <f t="shared" si="57"/>
        <v>0</v>
      </c>
      <c r="BG110" s="2">
        <f t="shared" si="57"/>
        <v>0</v>
      </c>
      <c r="BH110" s="2">
        <f t="shared" si="57"/>
        <v>0</v>
      </c>
      <c r="BI110" s="2">
        <f t="shared" si="57"/>
        <v>0</v>
      </c>
      <c r="BJ110" s="2">
        <f t="shared" si="57"/>
        <v>0</v>
      </c>
      <c r="BK110" s="2">
        <f t="shared" si="57"/>
        <v>0</v>
      </c>
      <c r="BL110" s="2">
        <f t="shared" si="57"/>
        <v>0</v>
      </c>
      <c r="BM110" s="2">
        <f t="shared" si="57"/>
        <v>0</v>
      </c>
      <c r="BN110" s="2">
        <f t="shared" si="57"/>
        <v>0</v>
      </c>
      <c r="BO110" s="2">
        <f t="shared" si="57"/>
        <v>0</v>
      </c>
      <c r="BP110" s="2">
        <f t="shared" si="57"/>
        <v>0</v>
      </c>
      <c r="BQ110" s="2">
        <f t="shared" si="57"/>
        <v>0</v>
      </c>
      <c r="BR110" s="2">
        <f t="shared" si="57"/>
        <v>0</v>
      </c>
      <c r="BS110" s="2">
        <f t="shared" si="57"/>
        <v>0</v>
      </c>
      <c r="BT110" s="2">
        <f t="shared" si="57"/>
        <v>0</v>
      </c>
      <c r="BU110" s="2">
        <f t="shared" si="57"/>
        <v>0</v>
      </c>
      <c r="BV110" s="2">
        <f t="shared" si="57"/>
        <v>0</v>
      </c>
      <c r="BW110" s="2">
        <f t="shared" si="57"/>
        <v>0</v>
      </c>
      <c r="BX110" s="2">
        <f t="shared" si="57"/>
        <v>0</v>
      </c>
      <c r="BY110" s="2">
        <f t="shared" si="57"/>
        <v>0</v>
      </c>
      <c r="BZ110" s="2">
        <f t="shared" si="57"/>
        <v>0</v>
      </c>
      <c r="CA110" s="2">
        <f t="shared" ref="CA110:DF110" si="58">CA119</f>
        <v>76536.41</v>
      </c>
      <c r="CB110" s="2">
        <f t="shared" si="58"/>
        <v>210.96</v>
      </c>
      <c r="CC110" s="2">
        <f t="shared" si="58"/>
        <v>76325.45</v>
      </c>
      <c r="CD110" s="2">
        <f t="shared" si="58"/>
        <v>0</v>
      </c>
      <c r="CE110" s="2">
        <f t="shared" si="58"/>
        <v>76536.41</v>
      </c>
      <c r="CF110" s="2">
        <f t="shared" si="58"/>
        <v>76536.41</v>
      </c>
      <c r="CG110" s="2">
        <f t="shared" si="58"/>
        <v>0</v>
      </c>
      <c r="CH110" s="2">
        <f t="shared" si="58"/>
        <v>76536.41</v>
      </c>
      <c r="CI110" s="2">
        <f t="shared" si="58"/>
        <v>0</v>
      </c>
      <c r="CJ110" s="2">
        <f t="shared" si="58"/>
        <v>0</v>
      </c>
      <c r="CK110" s="2">
        <f t="shared" si="58"/>
        <v>0</v>
      </c>
      <c r="CL110" s="2">
        <f t="shared" si="58"/>
        <v>0</v>
      </c>
      <c r="CM110" s="2">
        <f t="shared" si="58"/>
        <v>0</v>
      </c>
      <c r="CN110" s="2">
        <f t="shared" si="58"/>
        <v>0</v>
      </c>
      <c r="CO110" s="2">
        <f t="shared" si="58"/>
        <v>0</v>
      </c>
      <c r="CP110" s="2">
        <f t="shared" si="58"/>
        <v>0</v>
      </c>
      <c r="CQ110" s="2">
        <f t="shared" si="58"/>
        <v>0</v>
      </c>
      <c r="CR110" s="2">
        <f t="shared" si="58"/>
        <v>0</v>
      </c>
      <c r="CS110" s="2">
        <f t="shared" si="58"/>
        <v>0</v>
      </c>
      <c r="CT110" s="2">
        <f t="shared" si="58"/>
        <v>0</v>
      </c>
      <c r="CU110" s="2">
        <f t="shared" si="58"/>
        <v>0</v>
      </c>
      <c r="CV110" s="2">
        <f t="shared" si="58"/>
        <v>0</v>
      </c>
      <c r="CW110" s="2">
        <f t="shared" si="58"/>
        <v>0</v>
      </c>
      <c r="CX110" s="2">
        <f t="shared" si="58"/>
        <v>0</v>
      </c>
      <c r="CY110" s="2">
        <f t="shared" si="58"/>
        <v>0</v>
      </c>
      <c r="CZ110" s="2">
        <f t="shared" si="58"/>
        <v>0</v>
      </c>
      <c r="DA110" s="2">
        <f t="shared" si="58"/>
        <v>0</v>
      </c>
      <c r="DB110" s="2">
        <f t="shared" si="58"/>
        <v>0</v>
      </c>
      <c r="DC110" s="2">
        <f t="shared" si="58"/>
        <v>0</v>
      </c>
      <c r="DD110" s="2">
        <f t="shared" si="58"/>
        <v>0</v>
      </c>
      <c r="DE110" s="2">
        <f t="shared" si="58"/>
        <v>0</v>
      </c>
      <c r="DF110" s="2">
        <f t="shared" si="58"/>
        <v>0</v>
      </c>
      <c r="DG110" s="3">
        <f t="shared" ref="DG110:EL110" si="59">DG119</f>
        <v>0</v>
      </c>
      <c r="DH110" s="3">
        <f t="shared" si="59"/>
        <v>0</v>
      </c>
      <c r="DI110" s="3">
        <f t="shared" si="59"/>
        <v>0</v>
      </c>
      <c r="DJ110" s="3">
        <f t="shared" si="59"/>
        <v>0</v>
      </c>
      <c r="DK110" s="3">
        <f t="shared" si="59"/>
        <v>0</v>
      </c>
      <c r="DL110" s="3">
        <f t="shared" si="59"/>
        <v>0</v>
      </c>
      <c r="DM110" s="3">
        <f t="shared" si="59"/>
        <v>0</v>
      </c>
      <c r="DN110" s="3">
        <f t="shared" si="59"/>
        <v>0</v>
      </c>
      <c r="DO110" s="3">
        <f t="shared" si="59"/>
        <v>0</v>
      </c>
      <c r="DP110" s="3">
        <f t="shared" si="59"/>
        <v>0</v>
      </c>
      <c r="DQ110" s="3">
        <f t="shared" si="59"/>
        <v>0</v>
      </c>
      <c r="DR110" s="3">
        <f t="shared" si="59"/>
        <v>0</v>
      </c>
      <c r="DS110" s="3">
        <f t="shared" si="59"/>
        <v>0</v>
      </c>
      <c r="DT110" s="3">
        <f t="shared" si="59"/>
        <v>0</v>
      </c>
      <c r="DU110" s="3">
        <f t="shared" si="59"/>
        <v>0</v>
      </c>
      <c r="DV110" s="3">
        <f t="shared" si="59"/>
        <v>0</v>
      </c>
      <c r="DW110" s="3">
        <f t="shared" si="59"/>
        <v>0</v>
      </c>
      <c r="DX110" s="3">
        <f t="shared" si="59"/>
        <v>0</v>
      </c>
      <c r="DY110" s="3">
        <f t="shared" si="59"/>
        <v>0</v>
      </c>
      <c r="DZ110" s="3">
        <f t="shared" si="59"/>
        <v>0</v>
      </c>
      <c r="EA110" s="3">
        <f t="shared" si="59"/>
        <v>0</v>
      </c>
      <c r="EB110" s="3">
        <f t="shared" si="59"/>
        <v>0</v>
      </c>
      <c r="EC110" s="3">
        <f t="shared" si="59"/>
        <v>0</v>
      </c>
      <c r="ED110" s="3">
        <f t="shared" si="59"/>
        <v>0</v>
      </c>
      <c r="EE110" s="3">
        <f t="shared" si="59"/>
        <v>0</v>
      </c>
      <c r="EF110" s="3">
        <f t="shared" si="59"/>
        <v>0</v>
      </c>
      <c r="EG110" s="3">
        <f t="shared" si="59"/>
        <v>0</v>
      </c>
      <c r="EH110" s="3">
        <f t="shared" si="59"/>
        <v>0</v>
      </c>
      <c r="EI110" s="3">
        <f t="shared" si="59"/>
        <v>0</v>
      </c>
      <c r="EJ110" s="3">
        <f t="shared" si="59"/>
        <v>0</v>
      </c>
      <c r="EK110" s="3">
        <f t="shared" si="59"/>
        <v>0</v>
      </c>
      <c r="EL110" s="3">
        <f t="shared" si="59"/>
        <v>0</v>
      </c>
      <c r="EM110" s="3">
        <f t="shared" ref="EM110:FR110" si="60">EM119</f>
        <v>0</v>
      </c>
      <c r="EN110" s="3">
        <f t="shared" si="60"/>
        <v>0</v>
      </c>
      <c r="EO110" s="3">
        <f t="shared" si="60"/>
        <v>0</v>
      </c>
      <c r="EP110" s="3">
        <f t="shared" si="60"/>
        <v>0</v>
      </c>
      <c r="EQ110" s="3">
        <f t="shared" si="60"/>
        <v>0</v>
      </c>
      <c r="ER110" s="3">
        <f t="shared" si="60"/>
        <v>0</v>
      </c>
      <c r="ES110" s="3">
        <f t="shared" si="60"/>
        <v>0</v>
      </c>
      <c r="ET110" s="3">
        <f t="shared" si="60"/>
        <v>0</v>
      </c>
      <c r="EU110" s="3">
        <f t="shared" si="60"/>
        <v>0</v>
      </c>
      <c r="EV110" s="3">
        <f t="shared" si="60"/>
        <v>0</v>
      </c>
      <c r="EW110" s="3">
        <f t="shared" si="60"/>
        <v>0</v>
      </c>
      <c r="EX110" s="3">
        <f t="shared" si="60"/>
        <v>0</v>
      </c>
      <c r="EY110" s="3">
        <f t="shared" si="60"/>
        <v>0</v>
      </c>
      <c r="EZ110" s="3">
        <f t="shared" si="60"/>
        <v>0</v>
      </c>
      <c r="FA110" s="3">
        <f t="shared" si="60"/>
        <v>0</v>
      </c>
      <c r="FB110" s="3">
        <f t="shared" si="60"/>
        <v>0</v>
      </c>
      <c r="FC110" s="3">
        <f t="shared" si="60"/>
        <v>0</v>
      </c>
      <c r="FD110" s="3">
        <f t="shared" si="60"/>
        <v>0</v>
      </c>
      <c r="FE110" s="3">
        <f t="shared" si="60"/>
        <v>0</v>
      </c>
      <c r="FF110" s="3">
        <f t="shared" si="60"/>
        <v>0</v>
      </c>
      <c r="FG110" s="3">
        <f t="shared" si="60"/>
        <v>0</v>
      </c>
      <c r="FH110" s="3">
        <f t="shared" si="60"/>
        <v>0</v>
      </c>
      <c r="FI110" s="3">
        <f t="shared" si="60"/>
        <v>0</v>
      </c>
      <c r="FJ110" s="3">
        <f t="shared" si="60"/>
        <v>0</v>
      </c>
      <c r="FK110" s="3">
        <f t="shared" si="60"/>
        <v>0</v>
      </c>
      <c r="FL110" s="3">
        <f t="shared" si="60"/>
        <v>0</v>
      </c>
      <c r="FM110" s="3">
        <f t="shared" si="60"/>
        <v>0</v>
      </c>
      <c r="FN110" s="3">
        <f t="shared" si="60"/>
        <v>0</v>
      </c>
      <c r="FO110" s="3">
        <f t="shared" si="60"/>
        <v>0</v>
      </c>
      <c r="FP110" s="3">
        <f t="shared" si="60"/>
        <v>0</v>
      </c>
      <c r="FQ110" s="3">
        <f t="shared" si="60"/>
        <v>0</v>
      </c>
      <c r="FR110" s="3">
        <f t="shared" si="60"/>
        <v>0</v>
      </c>
      <c r="FS110" s="3">
        <f t="shared" ref="FS110:GX110" si="61">FS119</f>
        <v>0</v>
      </c>
      <c r="FT110" s="3">
        <f t="shared" si="61"/>
        <v>0</v>
      </c>
      <c r="FU110" s="3">
        <f t="shared" si="61"/>
        <v>0</v>
      </c>
      <c r="FV110" s="3">
        <f t="shared" si="61"/>
        <v>0</v>
      </c>
      <c r="FW110" s="3">
        <f t="shared" si="61"/>
        <v>0</v>
      </c>
      <c r="FX110" s="3">
        <f t="shared" si="61"/>
        <v>0</v>
      </c>
      <c r="FY110" s="3">
        <f t="shared" si="61"/>
        <v>0</v>
      </c>
      <c r="FZ110" s="3">
        <f t="shared" si="61"/>
        <v>0</v>
      </c>
      <c r="GA110" s="3">
        <f t="shared" si="61"/>
        <v>0</v>
      </c>
      <c r="GB110" s="3">
        <f t="shared" si="61"/>
        <v>0</v>
      </c>
      <c r="GC110" s="3">
        <f t="shared" si="61"/>
        <v>0</v>
      </c>
      <c r="GD110" s="3">
        <f t="shared" si="61"/>
        <v>0</v>
      </c>
      <c r="GE110" s="3">
        <f t="shared" si="61"/>
        <v>0</v>
      </c>
      <c r="GF110" s="3">
        <f t="shared" si="61"/>
        <v>0</v>
      </c>
      <c r="GG110" s="3">
        <f t="shared" si="61"/>
        <v>0</v>
      </c>
      <c r="GH110" s="3">
        <f t="shared" si="61"/>
        <v>0</v>
      </c>
      <c r="GI110" s="3">
        <f t="shared" si="61"/>
        <v>0</v>
      </c>
      <c r="GJ110" s="3">
        <f t="shared" si="61"/>
        <v>0</v>
      </c>
      <c r="GK110" s="3">
        <f t="shared" si="61"/>
        <v>0</v>
      </c>
      <c r="GL110" s="3">
        <f t="shared" si="61"/>
        <v>0</v>
      </c>
      <c r="GM110" s="3">
        <f t="shared" si="61"/>
        <v>0</v>
      </c>
      <c r="GN110" s="3">
        <f t="shared" si="61"/>
        <v>0</v>
      </c>
      <c r="GO110" s="3">
        <f t="shared" si="61"/>
        <v>0</v>
      </c>
      <c r="GP110" s="3">
        <f t="shared" si="61"/>
        <v>0</v>
      </c>
      <c r="GQ110" s="3">
        <f t="shared" si="61"/>
        <v>0</v>
      </c>
      <c r="GR110" s="3">
        <f t="shared" si="61"/>
        <v>0</v>
      </c>
      <c r="GS110" s="3">
        <f t="shared" si="61"/>
        <v>0</v>
      </c>
      <c r="GT110" s="3">
        <f t="shared" si="61"/>
        <v>0</v>
      </c>
      <c r="GU110" s="3">
        <f t="shared" si="61"/>
        <v>0</v>
      </c>
      <c r="GV110" s="3">
        <f t="shared" si="61"/>
        <v>0</v>
      </c>
      <c r="GW110" s="3">
        <f t="shared" si="61"/>
        <v>0</v>
      </c>
      <c r="GX110" s="3">
        <f t="shared" si="61"/>
        <v>0</v>
      </c>
    </row>
    <row r="112" spans="1:245" x14ac:dyDescent="0.2">
      <c r="A112">
        <v>17</v>
      </c>
      <c r="B112">
        <v>1</v>
      </c>
      <c r="E112" t="s">
        <v>150</v>
      </c>
      <c r="F112" t="s">
        <v>151</v>
      </c>
      <c r="G112" t="s">
        <v>152</v>
      </c>
      <c r="H112" t="s">
        <v>23</v>
      </c>
      <c r="I112">
        <f>ROUND(214/1000,7)</f>
        <v>0.214</v>
      </c>
      <c r="J112">
        <v>0</v>
      </c>
      <c r="K112">
        <f>ROUND(214/1000,7)</f>
        <v>0.214</v>
      </c>
      <c r="O112">
        <f t="shared" ref="O112:O117" si="62">ROUND(CP112,2)</f>
        <v>57333.51</v>
      </c>
      <c r="P112">
        <f t="shared" ref="P112:P117" si="63">ROUND(CQ112*I112,2)</f>
        <v>57333.51</v>
      </c>
      <c r="Q112">
        <f t="shared" ref="Q112:Q117" si="64">ROUND(CR112*I112,2)</f>
        <v>0</v>
      </c>
      <c r="R112">
        <f t="shared" ref="R112:R117" si="65">ROUND(CS112*I112,2)</f>
        <v>0</v>
      </c>
      <c r="S112">
        <f t="shared" ref="S112:S117" si="66">ROUND(CT112*I112,2)</f>
        <v>0</v>
      </c>
      <c r="T112">
        <f t="shared" ref="T112:T117" si="67">ROUND(CU112*I112,2)</f>
        <v>0</v>
      </c>
      <c r="U112">
        <f t="shared" ref="U112:U117" si="68">ROUND(CV112*I112,7)</f>
        <v>0</v>
      </c>
      <c r="V112">
        <f t="shared" ref="V112:V117" si="69">ROUND(CW112*I112,7)</f>
        <v>0</v>
      </c>
      <c r="W112">
        <f t="shared" ref="W112:W117" si="70">ROUND(CX112*I112,2)</f>
        <v>0</v>
      </c>
      <c r="X112">
        <f t="shared" ref="X112:Y117" si="71">ROUND(CY112,2)</f>
        <v>0</v>
      </c>
      <c r="Y112">
        <f t="shared" si="71"/>
        <v>0</v>
      </c>
      <c r="AA112">
        <v>61635504</v>
      </c>
      <c r="AB112">
        <f t="shared" ref="AB112:AB117" si="72">ROUND((AC112+AD112+AF112),6)</f>
        <v>194140.29</v>
      </c>
      <c r="AC112">
        <f t="shared" ref="AC112:AC117" si="73">ROUND((ES112),6)</f>
        <v>194140.29</v>
      </c>
      <c r="AD112">
        <f t="shared" ref="AD112:AD117" si="74">ROUND((((ET112)-(EU112))+AE112),6)</f>
        <v>0</v>
      </c>
      <c r="AE112">
        <f t="shared" ref="AE112:AF117" si="75">ROUND((EU112),6)</f>
        <v>0</v>
      </c>
      <c r="AF112">
        <f t="shared" si="75"/>
        <v>0</v>
      </c>
      <c r="AG112">
        <f t="shared" ref="AG112:AG117" si="76">ROUND((AP112),6)</f>
        <v>0</v>
      </c>
      <c r="AH112">
        <f t="shared" ref="AH112:AI117" si="77">(EW112)</f>
        <v>0</v>
      </c>
      <c r="AI112">
        <f t="shared" si="77"/>
        <v>0</v>
      </c>
      <c r="AJ112">
        <f t="shared" ref="AJ112:AJ117" si="78">(AS112)</f>
        <v>0</v>
      </c>
      <c r="AK112">
        <v>194140.29</v>
      </c>
      <c r="AL112">
        <v>194140.29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1.38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2</v>
      </c>
      <c r="BJ112" t="s">
        <v>153</v>
      </c>
      <c r="BM112">
        <v>500002</v>
      </c>
      <c r="BN112">
        <v>0</v>
      </c>
      <c r="BO112" t="s">
        <v>151</v>
      </c>
      <c r="BP112">
        <v>1</v>
      </c>
      <c r="BQ112">
        <v>12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17" si="79">(P112+Q112+S112+R112)</f>
        <v>57333.51</v>
      </c>
      <c r="CQ112">
        <f t="shared" ref="CQ112:CQ117" si="80">ROUND(AL112*BC112,2)</f>
        <v>267913.59999999998</v>
      </c>
      <c r="CR112">
        <f t="shared" ref="CR112:CR117" si="81">ROUND(AM112*BB112,2)</f>
        <v>0</v>
      </c>
      <c r="CS112">
        <f t="shared" ref="CS112:CS117" si="82">ROUND(AN112*BS112,2)</f>
        <v>0</v>
      </c>
      <c r="CT112">
        <f t="shared" ref="CT112:CT117" si="83">ROUND(AO112*BA112,2)</f>
        <v>0</v>
      </c>
      <c r="CU112">
        <f t="shared" ref="CU112:CX117" si="84">AG112</f>
        <v>0</v>
      </c>
      <c r="CV112">
        <f t="shared" si="84"/>
        <v>0</v>
      </c>
      <c r="CW112">
        <f t="shared" si="84"/>
        <v>0</v>
      </c>
      <c r="CX112">
        <f t="shared" si="84"/>
        <v>0</v>
      </c>
      <c r="CY112">
        <f>0</f>
        <v>0</v>
      </c>
      <c r="CZ112">
        <f>0</f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23</v>
      </c>
      <c r="DW112" t="s">
        <v>28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60393247</v>
      </c>
      <c r="EF112">
        <v>12</v>
      </c>
      <c r="EG112" t="s">
        <v>154</v>
      </c>
      <c r="EH112">
        <v>0</v>
      </c>
      <c r="EI112" t="s">
        <v>3</v>
      </c>
      <c r="EJ112">
        <v>2</v>
      </c>
      <c r="EK112">
        <v>500002</v>
      </c>
      <c r="EL112" t="s">
        <v>155</v>
      </c>
      <c r="EM112" t="s">
        <v>156</v>
      </c>
      <c r="EO112" t="s">
        <v>3</v>
      </c>
      <c r="EQ112">
        <v>0</v>
      </c>
      <c r="ER112">
        <v>194140.29</v>
      </c>
      <c r="ES112">
        <v>194140.29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FQ112">
        <v>0</v>
      </c>
      <c r="FR112">
        <f t="shared" ref="FR112:FR117" si="85">ROUND(IF(BI112=3,GM112,0),2)</f>
        <v>0</v>
      </c>
      <c r="FS112">
        <v>0</v>
      </c>
      <c r="FX112">
        <v>0</v>
      </c>
      <c r="FY112">
        <v>0</v>
      </c>
      <c r="GA112" t="s">
        <v>3</v>
      </c>
      <c r="GD112">
        <v>1</v>
      </c>
      <c r="GF112">
        <v>-1708219143</v>
      </c>
      <c r="GG112">
        <v>2</v>
      </c>
      <c r="GH112">
        <v>1</v>
      </c>
      <c r="GI112">
        <v>2</v>
      </c>
      <c r="GJ112">
        <v>0</v>
      </c>
      <c r="GK112">
        <v>0</v>
      </c>
      <c r="GL112">
        <f t="shared" ref="GL112:GL117" si="86">ROUND(IF(AND(BH112=3,BI112=3,FS112&lt;&gt;0),P112,0),2)</f>
        <v>0</v>
      </c>
      <c r="GM112">
        <f t="shared" ref="GM112:GM117" si="87">ROUND(O112+X112+Y112,2)+GX112</f>
        <v>57333.51</v>
      </c>
      <c r="GN112">
        <f t="shared" ref="GN112:GN117" si="88">IF(OR(BI112=0,BI112=1),GM112-GX112,0)</f>
        <v>0</v>
      </c>
      <c r="GO112">
        <f t="shared" ref="GO112:GO117" si="89">IF(BI112=2,GM112-GX112,0)</f>
        <v>57333.51</v>
      </c>
      <c r="GP112">
        <f t="shared" ref="GP112:GP117" si="90">IF(BI112=4,GM112-GX112,0)</f>
        <v>0</v>
      </c>
      <c r="GR112">
        <v>0</v>
      </c>
      <c r="GS112">
        <v>3</v>
      </c>
      <c r="GT112">
        <v>0</v>
      </c>
      <c r="GU112" t="s">
        <v>3</v>
      </c>
      <c r="GV112">
        <f t="shared" ref="GV112:GV117" si="91">ROUND((GT112),6)</f>
        <v>0</v>
      </c>
      <c r="GW112">
        <v>1</v>
      </c>
      <c r="GX112">
        <f t="shared" ref="GX112:GX117" si="92">ROUND(HC112*I112,2)</f>
        <v>0</v>
      </c>
      <c r="HA112">
        <v>0</v>
      </c>
      <c r="HB112">
        <v>0</v>
      </c>
      <c r="HC112">
        <f t="shared" ref="HC112:HC117" si="93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E113" t="s">
        <v>157</v>
      </c>
      <c r="F113" t="s">
        <v>158</v>
      </c>
      <c r="G113" t="s">
        <v>159</v>
      </c>
      <c r="H113" t="s">
        <v>38</v>
      </c>
      <c r="I113">
        <f>ROUND(6/100,7)</f>
        <v>0.06</v>
      </c>
      <c r="J113">
        <v>0</v>
      </c>
      <c r="K113">
        <f>ROUND(6/100,7)</f>
        <v>0.06</v>
      </c>
      <c r="O113">
        <f t="shared" si="62"/>
        <v>4182.8100000000004</v>
      </c>
      <c r="P113">
        <f t="shared" si="63"/>
        <v>4182.8100000000004</v>
      </c>
      <c r="Q113">
        <f t="shared" si="64"/>
        <v>0</v>
      </c>
      <c r="R113">
        <f t="shared" si="65"/>
        <v>0</v>
      </c>
      <c r="S113">
        <f t="shared" si="66"/>
        <v>0</v>
      </c>
      <c r="T113">
        <f t="shared" si="67"/>
        <v>0</v>
      </c>
      <c r="U113">
        <f t="shared" si="68"/>
        <v>0</v>
      </c>
      <c r="V113">
        <f t="shared" si="69"/>
        <v>0</v>
      </c>
      <c r="W113">
        <f t="shared" si="70"/>
        <v>0</v>
      </c>
      <c r="X113">
        <f t="shared" si="71"/>
        <v>0</v>
      </c>
      <c r="Y113">
        <f t="shared" si="71"/>
        <v>0</v>
      </c>
      <c r="AA113">
        <v>61635504</v>
      </c>
      <c r="AB113">
        <f t="shared" si="72"/>
        <v>67032.22</v>
      </c>
      <c r="AC113">
        <f t="shared" si="73"/>
        <v>67032.22</v>
      </c>
      <c r="AD113">
        <f t="shared" si="74"/>
        <v>0</v>
      </c>
      <c r="AE113">
        <f t="shared" si="75"/>
        <v>0</v>
      </c>
      <c r="AF113">
        <f t="shared" si="75"/>
        <v>0</v>
      </c>
      <c r="AG113">
        <f t="shared" si="76"/>
        <v>0</v>
      </c>
      <c r="AH113">
        <f t="shared" si="77"/>
        <v>0</v>
      </c>
      <c r="AI113">
        <f t="shared" si="77"/>
        <v>0</v>
      </c>
      <c r="AJ113">
        <f t="shared" si="78"/>
        <v>0</v>
      </c>
      <c r="AK113">
        <v>67032.22</v>
      </c>
      <c r="AL113">
        <v>67032.22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1.04</v>
      </c>
      <c r="BD113" t="s">
        <v>3</v>
      </c>
      <c r="BE113" t="s">
        <v>3</v>
      </c>
      <c r="BF113" t="s">
        <v>3</v>
      </c>
      <c r="BG113" t="s">
        <v>3</v>
      </c>
      <c r="BH113">
        <v>3</v>
      </c>
      <c r="BI113">
        <v>2</v>
      </c>
      <c r="BJ113" t="s">
        <v>160</v>
      </c>
      <c r="BM113">
        <v>500002</v>
      </c>
      <c r="BN113">
        <v>0</v>
      </c>
      <c r="BO113" t="s">
        <v>158</v>
      </c>
      <c r="BP113">
        <v>1</v>
      </c>
      <c r="BQ113">
        <v>12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0</v>
      </c>
      <c r="CA113">
        <v>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79"/>
        <v>4182.8100000000004</v>
      </c>
      <c r="CQ113">
        <f t="shared" si="80"/>
        <v>69713.509999999995</v>
      </c>
      <c r="CR113">
        <f t="shared" si="81"/>
        <v>0</v>
      </c>
      <c r="CS113">
        <f t="shared" si="82"/>
        <v>0</v>
      </c>
      <c r="CT113">
        <f t="shared" si="83"/>
        <v>0</v>
      </c>
      <c r="CU113">
        <f t="shared" si="84"/>
        <v>0</v>
      </c>
      <c r="CV113">
        <f t="shared" si="84"/>
        <v>0</v>
      </c>
      <c r="CW113">
        <f t="shared" si="84"/>
        <v>0</v>
      </c>
      <c r="CX113">
        <f t="shared" si="84"/>
        <v>0</v>
      </c>
      <c r="CY113">
        <f>0</f>
        <v>0</v>
      </c>
      <c r="CZ113">
        <f>0</f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38</v>
      </c>
      <c r="DW113" t="s">
        <v>38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60393247</v>
      </c>
      <c r="EF113">
        <v>12</v>
      </c>
      <c r="EG113" t="s">
        <v>154</v>
      </c>
      <c r="EH113">
        <v>0</v>
      </c>
      <c r="EI113" t="s">
        <v>3</v>
      </c>
      <c r="EJ113">
        <v>2</v>
      </c>
      <c r="EK113">
        <v>500002</v>
      </c>
      <c r="EL113" t="s">
        <v>155</v>
      </c>
      <c r="EM113" t="s">
        <v>156</v>
      </c>
      <c r="EO113" t="s">
        <v>3</v>
      </c>
      <c r="EQ113">
        <v>0</v>
      </c>
      <c r="ER113">
        <v>67032.22</v>
      </c>
      <c r="ES113">
        <v>67032.22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FQ113">
        <v>0</v>
      </c>
      <c r="FR113">
        <f t="shared" si="85"/>
        <v>0</v>
      </c>
      <c r="FS113">
        <v>0</v>
      </c>
      <c r="FX113">
        <v>0</v>
      </c>
      <c r="FY113">
        <v>0</v>
      </c>
      <c r="GA113" t="s">
        <v>3</v>
      </c>
      <c r="GD113">
        <v>1</v>
      </c>
      <c r="GF113">
        <v>61049592</v>
      </c>
      <c r="GG113">
        <v>2</v>
      </c>
      <c r="GH113">
        <v>1</v>
      </c>
      <c r="GI113">
        <v>2</v>
      </c>
      <c r="GJ113">
        <v>0</v>
      </c>
      <c r="GK113">
        <v>0</v>
      </c>
      <c r="GL113">
        <f t="shared" si="86"/>
        <v>0</v>
      </c>
      <c r="GM113">
        <f t="shared" si="87"/>
        <v>4182.8100000000004</v>
      </c>
      <c r="GN113">
        <f t="shared" si="88"/>
        <v>0</v>
      </c>
      <c r="GO113">
        <f t="shared" si="89"/>
        <v>4182.8100000000004</v>
      </c>
      <c r="GP113">
        <f t="shared" si="90"/>
        <v>0</v>
      </c>
      <c r="GR113">
        <v>0</v>
      </c>
      <c r="GS113">
        <v>3</v>
      </c>
      <c r="GT113">
        <v>0</v>
      </c>
      <c r="GU113" t="s">
        <v>3</v>
      </c>
      <c r="GV113">
        <f t="shared" si="91"/>
        <v>0</v>
      </c>
      <c r="GW113">
        <v>1</v>
      </c>
      <c r="GX113">
        <f t="shared" si="92"/>
        <v>0</v>
      </c>
      <c r="HA113">
        <v>0</v>
      </c>
      <c r="HB113">
        <v>0</v>
      </c>
      <c r="HC113">
        <f t="shared" si="93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E114" t="s">
        <v>161</v>
      </c>
      <c r="F114" t="s">
        <v>162</v>
      </c>
      <c r="G114" t="s">
        <v>163</v>
      </c>
      <c r="H114" t="s">
        <v>38</v>
      </c>
      <c r="I114">
        <f>ROUND(32/100,7)</f>
        <v>0.32</v>
      </c>
      <c r="J114">
        <v>0</v>
      </c>
      <c r="K114">
        <f>ROUND(32/100,7)</f>
        <v>0.32</v>
      </c>
      <c r="O114">
        <f t="shared" si="62"/>
        <v>5800.7</v>
      </c>
      <c r="P114">
        <f t="shared" si="63"/>
        <v>5800.7</v>
      </c>
      <c r="Q114">
        <f t="shared" si="64"/>
        <v>0</v>
      </c>
      <c r="R114">
        <f t="shared" si="65"/>
        <v>0</v>
      </c>
      <c r="S114">
        <f t="shared" si="66"/>
        <v>0</v>
      </c>
      <c r="T114">
        <f t="shared" si="67"/>
        <v>0</v>
      </c>
      <c r="U114">
        <f t="shared" si="68"/>
        <v>0</v>
      </c>
      <c r="V114">
        <f t="shared" si="69"/>
        <v>0</v>
      </c>
      <c r="W114">
        <f t="shared" si="70"/>
        <v>0</v>
      </c>
      <c r="X114">
        <f t="shared" si="71"/>
        <v>0</v>
      </c>
      <c r="Y114">
        <f t="shared" si="71"/>
        <v>0</v>
      </c>
      <c r="AA114">
        <v>61635504</v>
      </c>
      <c r="AB114">
        <f t="shared" si="72"/>
        <v>17429.98</v>
      </c>
      <c r="AC114">
        <f t="shared" si="73"/>
        <v>17429.98</v>
      </c>
      <c r="AD114">
        <f t="shared" si="74"/>
        <v>0</v>
      </c>
      <c r="AE114">
        <f t="shared" si="75"/>
        <v>0</v>
      </c>
      <c r="AF114">
        <f t="shared" si="75"/>
        <v>0</v>
      </c>
      <c r="AG114">
        <f t="shared" si="76"/>
        <v>0</v>
      </c>
      <c r="AH114">
        <f t="shared" si="77"/>
        <v>0</v>
      </c>
      <c r="AI114">
        <f t="shared" si="77"/>
        <v>0</v>
      </c>
      <c r="AJ114">
        <f t="shared" si="78"/>
        <v>0</v>
      </c>
      <c r="AK114">
        <v>17429.98</v>
      </c>
      <c r="AL114">
        <v>17429.98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1.04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2</v>
      </c>
      <c r="BJ114" t="s">
        <v>164</v>
      </c>
      <c r="BM114">
        <v>500002</v>
      </c>
      <c r="BN114">
        <v>0</v>
      </c>
      <c r="BO114" t="s">
        <v>162</v>
      </c>
      <c r="BP114">
        <v>1</v>
      </c>
      <c r="BQ114">
        <v>12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79"/>
        <v>5800.7</v>
      </c>
      <c r="CQ114">
        <f t="shared" si="80"/>
        <v>18127.18</v>
      </c>
      <c r="CR114">
        <f t="shared" si="81"/>
        <v>0</v>
      </c>
      <c r="CS114">
        <f t="shared" si="82"/>
        <v>0</v>
      </c>
      <c r="CT114">
        <f t="shared" si="83"/>
        <v>0</v>
      </c>
      <c r="CU114">
        <f t="shared" si="84"/>
        <v>0</v>
      </c>
      <c r="CV114">
        <f t="shared" si="84"/>
        <v>0</v>
      </c>
      <c r="CW114">
        <f t="shared" si="84"/>
        <v>0</v>
      </c>
      <c r="CX114">
        <f t="shared" si="84"/>
        <v>0</v>
      </c>
      <c r="CY114">
        <f>0</f>
        <v>0</v>
      </c>
      <c r="CZ114">
        <f>0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38</v>
      </c>
      <c r="DW114" t="s">
        <v>38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60393247</v>
      </c>
      <c r="EF114">
        <v>12</v>
      </c>
      <c r="EG114" t="s">
        <v>154</v>
      </c>
      <c r="EH114">
        <v>0</v>
      </c>
      <c r="EI114" t="s">
        <v>3</v>
      </c>
      <c r="EJ114">
        <v>2</v>
      </c>
      <c r="EK114">
        <v>500002</v>
      </c>
      <c r="EL114" t="s">
        <v>155</v>
      </c>
      <c r="EM114" t="s">
        <v>156</v>
      </c>
      <c r="EO114" t="s">
        <v>3</v>
      </c>
      <c r="EQ114">
        <v>0</v>
      </c>
      <c r="ER114">
        <v>17429.98</v>
      </c>
      <c r="ES114">
        <v>17429.98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85"/>
        <v>0</v>
      </c>
      <c r="FS114">
        <v>0</v>
      </c>
      <c r="FX114">
        <v>0</v>
      </c>
      <c r="FY114">
        <v>0</v>
      </c>
      <c r="GA114" t="s">
        <v>3</v>
      </c>
      <c r="GD114">
        <v>1</v>
      </c>
      <c r="GF114">
        <v>262049730</v>
      </c>
      <c r="GG114">
        <v>2</v>
      </c>
      <c r="GH114">
        <v>1</v>
      </c>
      <c r="GI114">
        <v>2</v>
      </c>
      <c r="GJ114">
        <v>0</v>
      </c>
      <c r="GK114">
        <v>0</v>
      </c>
      <c r="GL114">
        <f t="shared" si="86"/>
        <v>0</v>
      </c>
      <c r="GM114">
        <f t="shared" si="87"/>
        <v>5800.7</v>
      </c>
      <c r="GN114">
        <f t="shared" si="88"/>
        <v>0</v>
      </c>
      <c r="GO114">
        <f t="shared" si="89"/>
        <v>5800.7</v>
      </c>
      <c r="GP114">
        <f t="shared" si="90"/>
        <v>0</v>
      </c>
      <c r="GR114">
        <v>0</v>
      </c>
      <c r="GS114">
        <v>3</v>
      </c>
      <c r="GT114">
        <v>0</v>
      </c>
      <c r="GU114" t="s">
        <v>3</v>
      </c>
      <c r="GV114">
        <f t="shared" si="91"/>
        <v>0</v>
      </c>
      <c r="GW114">
        <v>1</v>
      </c>
      <c r="GX114">
        <f t="shared" si="92"/>
        <v>0</v>
      </c>
      <c r="HA114">
        <v>0</v>
      </c>
      <c r="HB114">
        <v>0</v>
      </c>
      <c r="HC114">
        <f t="shared" si="93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E115" t="s">
        <v>165</v>
      </c>
      <c r="F115" t="s">
        <v>166</v>
      </c>
      <c r="G115" t="s">
        <v>167</v>
      </c>
      <c r="H115" t="s">
        <v>38</v>
      </c>
      <c r="I115">
        <f>ROUND(4/100,7)</f>
        <v>0.04</v>
      </c>
      <c r="J115">
        <v>0</v>
      </c>
      <c r="K115">
        <f>ROUND(4/100,7)</f>
        <v>0.04</v>
      </c>
      <c r="O115">
        <f t="shared" si="62"/>
        <v>2198.5700000000002</v>
      </c>
      <c r="P115">
        <f t="shared" si="63"/>
        <v>2198.5700000000002</v>
      </c>
      <c r="Q115">
        <f t="shared" si="64"/>
        <v>0</v>
      </c>
      <c r="R115">
        <f t="shared" si="65"/>
        <v>0</v>
      </c>
      <c r="S115">
        <f t="shared" si="66"/>
        <v>0</v>
      </c>
      <c r="T115">
        <f t="shared" si="67"/>
        <v>0</v>
      </c>
      <c r="U115">
        <f t="shared" si="68"/>
        <v>0</v>
      </c>
      <c r="V115">
        <f t="shared" si="69"/>
        <v>0</v>
      </c>
      <c r="W115">
        <f t="shared" si="70"/>
        <v>0</v>
      </c>
      <c r="X115">
        <f t="shared" si="71"/>
        <v>0</v>
      </c>
      <c r="Y115">
        <f t="shared" si="71"/>
        <v>0</v>
      </c>
      <c r="AA115">
        <v>61635504</v>
      </c>
      <c r="AB115">
        <f t="shared" si="72"/>
        <v>52850.19</v>
      </c>
      <c r="AC115">
        <f t="shared" si="73"/>
        <v>52850.19</v>
      </c>
      <c r="AD115">
        <f t="shared" si="74"/>
        <v>0</v>
      </c>
      <c r="AE115">
        <f t="shared" si="75"/>
        <v>0</v>
      </c>
      <c r="AF115">
        <f t="shared" si="75"/>
        <v>0</v>
      </c>
      <c r="AG115">
        <f t="shared" si="76"/>
        <v>0</v>
      </c>
      <c r="AH115">
        <f t="shared" si="77"/>
        <v>0</v>
      </c>
      <c r="AI115">
        <f t="shared" si="77"/>
        <v>0</v>
      </c>
      <c r="AJ115">
        <f t="shared" si="78"/>
        <v>0</v>
      </c>
      <c r="AK115">
        <v>52850.19</v>
      </c>
      <c r="AL115">
        <v>52850.19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1.04</v>
      </c>
      <c r="BD115" t="s">
        <v>3</v>
      </c>
      <c r="BE115" t="s">
        <v>3</v>
      </c>
      <c r="BF115" t="s">
        <v>3</v>
      </c>
      <c r="BG115" t="s">
        <v>3</v>
      </c>
      <c r="BH115">
        <v>3</v>
      </c>
      <c r="BI115">
        <v>2</v>
      </c>
      <c r="BJ115" t="s">
        <v>168</v>
      </c>
      <c r="BM115">
        <v>500002</v>
      </c>
      <c r="BN115">
        <v>0</v>
      </c>
      <c r="BO115" t="s">
        <v>166</v>
      </c>
      <c r="BP115">
        <v>1</v>
      </c>
      <c r="BQ115">
        <v>12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0</v>
      </c>
      <c r="CA115">
        <v>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79"/>
        <v>2198.5700000000002</v>
      </c>
      <c r="CQ115">
        <f t="shared" si="80"/>
        <v>54964.2</v>
      </c>
      <c r="CR115">
        <f t="shared" si="81"/>
        <v>0</v>
      </c>
      <c r="CS115">
        <f t="shared" si="82"/>
        <v>0</v>
      </c>
      <c r="CT115">
        <f t="shared" si="83"/>
        <v>0</v>
      </c>
      <c r="CU115">
        <f t="shared" si="84"/>
        <v>0</v>
      </c>
      <c r="CV115">
        <f t="shared" si="84"/>
        <v>0</v>
      </c>
      <c r="CW115">
        <f t="shared" si="84"/>
        <v>0</v>
      </c>
      <c r="CX115">
        <f t="shared" si="84"/>
        <v>0</v>
      </c>
      <c r="CY115">
        <f>0</f>
        <v>0</v>
      </c>
      <c r="CZ115">
        <f>0</f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38</v>
      </c>
      <c r="DW115" t="s">
        <v>38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60393247</v>
      </c>
      <c r="EF115">
        <v>12</v>
      </c>
      <c r="EG115" t="s">
        <v>154</v>
      </c>
      <c r="EH115">
        <v>0</v>
      </c>
      <c r="EI115" t="s">
        <v>3</v>
      </c>
      <c r="EJ115">
        <v>2</v>
      </c>
      <c r="EK115">
        <v>500002</v>
      </c>
      <c r="EL115" t="s">
        <v>155</v>
      </c>
      <c r="EM115" t="s">
        <v>156</v>
      </c>
      <c r="EO115" t="s">
        <v>3</v>
      </c>
      <c r="EQ115">
        <v>0</v>
      </c>
      <c r="ER115">
        <v>52850.19</v>
      </c>
      <c r="ES115">
        <v>52850.19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FQ115">
        <v>0</v>
      </c>
      <c r="FR115">
        <f t="shared" si="85"/>
        <v>0</v>
      </c>
      <c r="FS115">
        <v>0</v>
      </c>
      <c r="FX115">
        <v>0</v>
      </c>
      <c r="FY115">
        <v>0</v>
      </c>
      <c r="GA115" t="s">
        <v>3</v>
      </c>
      <c r="GD115">
        <v>1</v>
      </c>
      <c r="GF115">
        <v>2110814057</v>
      </c>
      <c r="GG115">
        <v>2</v>
      </c>
      <c r="GH115">
        <v>1</v>
      </c>
      <c r="GI115">
        <v>2</v>
      </c>
      <c r="GJ115">
        <v>0</v>
      </c>
      <c r="GK115">
        <v>0</v>
      </c>
      <c r="GL115">
        <f t="shared" si="86"/>
        <v>0</v>
      </c>
      <c r="GM115">
        <f t="shared" si="87"/>
        <v>2198.5700000000002</v>
      </c>
      <c r="GN115">
        <f t="shared" si="88"/>
        <v>0</v>
      </c>
      <c r="GO115">
        <f t="shared" si="89"/>
        <v>2198.5700000000002</v>
      </c>
      <c r="GP115">
        <f t="shared" si="90"/>
        <v>0</v>
      </c>
      <c r="GR115">
        <v>0</v>
      </c>
      <c r="GS115">
        <v>3</v>
      </c>
      <c r="GT115">
        <v>0</v>
      </c>
      <c r="GU115" t="s">
        <v>3</v>
      </c>
      <c r="GV115">
        <f t="shared" si="91"/>
        <v>0</v>
      </c>
      <c r="GW115">
        <v>1</v>
      </c>
      <c r="GX115">
        <f t="shared" si="92"/>
        <v>0</v>
      </c>
      <c r="HA115">
        <v>0</v>
      </c>
      <c r="HB115">
        <v>0</v>
      </c>
      <c r="HC115">
        <f t="shared" si="93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E116" t="s">
        <v>169</v>
      </c>
      <c r="F116" t="s">
        <v>170</v>
      </c>
      <c r="G116" t="s">
        <v>171</v>
      </c>
      <c r="H116" t="s">
        <v>38</v>
      </c>
      <c r="I116">
        <f>ROUND(8/100,7)</f>
        <v>0.08</v>
      </c>
      <c r="J116">
        <v>0</v>
      </c>
      <c r="K116">
        <f>ROUND(8/100,7)</f>
        <v>0.08</v>
      </c>
      <c r="O116">
        <f t="shared" si="62"/>
        <v>6809.86</v>
      </c>
      <c r="P116">
        <f t="shared" si="63"/>
        <v>6809.86</v>
      </c>
      <c r="Q116">
        <f t="shared" si="64"/>
        <v>0</v>
      </c>
      <c r="R116">
        <f t="shared" si="65"/>
        <v>0</v>
      </c>
      <c r="S116">
        <f t="shared" si="66"/>
        <v>0</v>
      </c>
      <c r="T116">
        <f t="shared" si="67"/>
        <v>0</v>
      </c>
      <c r="U116">
        <f t="shared" si="68"/>
        <v>0</v>
      </c>
      <c r="V116">
        <f t="shared" si="69"/>
        <v>0</v>
      </c>
      <c r="W116">
        <f t="shared" si="70"/>
        <v>0</v>
      </c>
      <c r="X116">
        <f t="shared" si="71"/>
        <v>0</v>
      </c>
      <c r="Y116">
        <f t="shared" si="71"/>
        <v>0</v>
      </c>
      <c r="AA116">
        <v>61635504</v>
      </c>
      <c r="AB116">
        <f t="shared" si="72"/>
        <v>81849.34</v>
      </c>
      <c r="AC116">
        <f t="shared" si="73"/>
        <v>81849.34</v>
      </c>
      <c r="AD116">
        <f t="shared" si="74"/>
        <v>0</v>
      </c>
      <c r="AE116">
        <f t="shared" si="75"/>
        <v>0</v>
      </c>
      <c r="AF116">
        <f t="shared" si="75"/>
        <v>0</v>
      </c>
      <c r="AG116">
        <f t="shared" si="76"/>
        <v>0</v>
      </c>
      <c r="AH116">
        <f t="shared" si="77"/>
        <v>0</v>
      </c>
      <c r="AI116">
        <f t="shared" si="77"/>
        <v>0</v>
      </c>
      <c r="AJ116">
        <f t="shared" si="78"/>
        <v>0</v>
      </c>
      <c r="AK116">
        <v>81849.34</v>
      </c>
      <c r="AL116">
        <v>81849.34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1.04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2</v>
      </c>
      <c r="BJ116" t="s">
        <v>172</v>
      </c>
      <c r="BM116">
        <v>500002</v>
      </c>
      <c r="BN116">
        <v>0</v>
      </c>
      <c r="BO116" t="s">
        <v>170</v>
      </c>
      <c r="BP116">
        <v>1</v>
      </c>
      <c r="BQ116">
        <v>12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79"/>
        <v>6809.86</v>
      </c>
      <c r="CQ116">
        <f t="shared" si="80"/>
        <v>85123.31</v>
      </c>
      <c r="CR116">
        <f t="shared" si="81"/>
        <v>0</v>
      </c>
      <c r="CS116">
        <f t="shared" si="82"/>
        <v>0</v>
      </c>
      <c r="CT116">
        <f t="shared" si="83"/>
        <v>0</v>
      </c>
      <c r="CU116">
        <f t="shared" si="84"/>
        <v>0</v>
      </c>
      <c r="CV116">
        <f t="shared" si="84"/>
        <v>0</v>
      </c>
      <c r="CW116">
        <f t="shared" si="84"/>
        <v>0</v>
      </c>
      <c r="CX116">
        <f t="shared" si="84"/>
        <v>0</v>
      </c>
      <c r="CY116">
        <f>0</f>
        <v>0</v>
      </c>
      <c r="CZ116">
        <f>0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38</v>
      </c>
      <c r="DW116" t="s">
        <v>38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60393247</v>
      </c>
      <c r="EF116">
        <v>12</v>
      </c>
      <c r="EG116" t="s">
        <v>154</v>
      </c>
      <c r="EH116">
        <v>0</v>
      </c>
      <c r="EI116" t="s">
        <v>3</v>
      </c>
      <c r="EJ116">
        <v>2</v>
      </c>
      <c r="EK116">
        <v>500002</v>
      </c>
      <c r="EL116" t="s">
        <v>155</v>
      </c>
      <c r="EM116" t="s">
        <v>156</v>
      </c>
      <c r="EO116" t="s">
        <v>3</v>
      </c>
      <c r="EQ116">
        <v>0</v>
      </c>
      <c r="ER116">
        <v>81849.34</v>
      </c>
      <c r="ES116">
        <v>81849.34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FQ116">
        <v>0</v>
      </c>
      <c r="FR116">
        <f t="shared" si="85"/>
        <v>0</v>
      </c>
      <c r="FS116">
        <v>0</v>
      </c>
      <c r="FX116">
        <v>0</v>
      </c>
      <c r="FY116">
        <v>0</v>
      </c>
      <c r="GA116" t="s">
        <v>3</v>
      </c>
      <c r="GD116">
        <v>1</v>
      </c>
      <c r="GF116">
        <v>-1074338269</v>
      </c>
      <c r="GG116">
        <v>2</v>
      </c>
      <c r="GH116">
        <v>1</v>
      </c>
      <c r="GI116">
        <v>2</v>
      </c>
      <c r="GJ116">
        <v>0</v>
      </c>
      <c r="GK116">
        <v>0</v>
      </c>
      <c r="GL116">
        <f t="shared" si="86"/>
        <v>0</v>
      </c>
      <c r="GM116">
        <f t="shared" si="87"/>
        <v>6809.86</v>
      </c>
      <c r="GN116">
        <f t="shared" si="88"/>
        <v>0</v>
      </c>
      <c r="GO116">
        <f t="shared" si="89"/>
        <v>6809.86</v>
      </c>
      <c r="GP116">
        <f t="shared" si="90"/>
        <v>0</v>
      </c>
      <c r="GR116">
        <v>0</v>
      </c>
      <c r="GS116">
        <v>3</v>
      </c>
      <c r="GT116">
        <v>0</v>
      </c>
      <c r="GU116" t="s">
        <v>3</v>
      </c>
      <c r="GV116">
        <f t="shared" si="91"/>
        <v>0</v>
      </c>
      <c r="GW116">
        <v>1</v>
      </c>
      <c r="GX116">
        <f t="shared" si="92"/>
        <v>0</v>
      </c>
      <c r="HA116">
        <v>0</v>
      </c>
      <c r="HB116">
        <v>0</v>
      </c>
      <c r="HC116">
        <f t="shared" si="93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E117" t="s">
        <v>173</v>
      </c>
      <c r="F117" t="s">
        <v>174</v>
      </c>
      <c r="G117" t="s">
        <v>175</v>
      </c>
      <c r="H117" t="s">
        <v>176</v>
      </c>
      <c r="I117">
        <v>0.3</v>
      </c>
      <c r="J117">
        <v>0</v>
      </c>
      <c r="K117">
        <v>0.3</v>
      </c>
      <c r="O117">
        <f t="shared" si="62"/>
        <v>210.96</v>
      </c>
      <c r="P117">
        <f t="shared" si="63"/>
        <v>210.96</v>
      </c>
      <c r="Q117">
        <f t="shared" si="64"/>
        <v>0</v>
      </c>
      <c r="R117">
        <f t="shared" si="65"/>
        <v>0</v>
      </c>
      <c r="S117">
        <f t="shared" si="66"/>
        <v>0</v>
      </c>
      <c r="T117">
        <f t="shared" si="67"/>
        <v>0</v>
      </c>
      <c r="U117">
        <f t="shared" si="68"/>
        <v>0</v>
      </c>
      <c r="V117">
        <f t="shared" si="69"/>
        <v>0</v>
      </c>
      <c r="W117">
        <f t="shared" si="70"/>
        <v>0</v>
      </c>
      <c r="X117">
        <f t="shared" si="71"/>
        <v>0</v>
      </c>
      <c r="Y117">
        <f t="shared" si="71"/>
        <v>0</v>
      </c>
      <c r="AA117">
        <v>61635504</v>
      </c>
      <c r="AB117">
        <f t="shared" si="72"/>
        <v>376.05</v>
      </c>
      <c r="AC117">
        <f t="shared" si="73"/>
        <v>376.05</v>
      </c>
      <c r="AD117">
        <f t="shared" si="74"/>
        <v>0</v>
      </c>
      <c r="AE117">
        <f t="shared" si="75"/>
        <v>0</v>
      </c>
      <c r="AF117">
        <f t="shared" si="75"/>
        <v>0</v>
      </c>
      <c r="AG117">
        <f t="shared" si="76"/>
        <v>0</v>
      </c>
      <c r="AH117">
        <f t="shared" si="77"/>
        <v>0</v>
      </c>
      <c r="AI117">
        <f t="shared" si="77"/>
        <v>0</v>
      </c>
      <c r="AJ117">
        <f t="shared" si="78"/>
        <v>0</v>
      </c>
      <c r="AK117">
        <v>376.05</v>
      </c>
      <c r="AL117">
        <v>376.05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1.87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177</v>
      </c>
      <c r="BM117">
        <v>500001</v>
      </c>
      <c r="BN117">
        <v>0</v>
      </c>
      <c r="BO117" t="s">
        <v>174</v>
      </c>
      <c r="BP117">
        <v>1</v>
      </c>
      <c r="BQ117">
        <v>8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79"/>
        <v>210.96</v>
      </c>
      <c r="CQ117">
        <f t="shared" si="80"/>
        <v>703.21</v>
      </c>
      <c r="CR117">
        <f t="shared" si="81"/>
        <v>0</v>
      </c>
      <c r="CS117">
        <f t="shared" si="82"/>
        <v>0</v>
      </c>
      <c r="CT117">
        <f t="shared" si="83"/>
        <v>0</v>
      </c>
      <c r="CU117">
        <f t="shared" si="84"/>
        <v>0</v>
      </c>
      <c r="CV117">
        <f t="shared" si="84"/>
        <v>0</v>
      </c>
      <c r="CW117">
        <f t="shared" si="84"/>
        <v>0</v>
      </c>
      <c r="CX117">
        <f t="shared" si="84"/>
        <v>0</v>
      </c>
      <c r="CY117">
        <f>0</f>
        <v>0</v>
      </c>
      <c r="CZ117">
        <f>0</f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1009</v>
      </c>
      <c r="DV117" t="s">
        <v>176</v>
      </c>
      <c r="DW117" t="s">
        <v>176</v>
      </c>
      <c r="DX117">
        <v>1</v>
      </c>
      <c r="DZ117" t="s">
        <v>3</v>
      </c>
      <c r="EA117" t="s">
        <v>3</v>
      </c>
      <c r="EB117" t="s">
        <v>3</v>
      </c>
      <c r="EC117" t="s">
        <v>3</v>
      </c>
      <c r="EE117">
        <v>60393246</v>
      </c>
      <c r="EF117">
        <v>8</v>
      </c>
      <c r="EG117" t="s">
        <v>178</v>
      </c>
      <c r="EH117">
        <v>0</v>
      </c>
      <c r="EI117" t="s">
        <v>3</v>
      </c>
      <c r="EJ117">
        <v>1</v>
      </c>
      <c r="EK117">
        <v>500001</v>
      </c>
      <c r="EL117" t="s">
        <v>179</v>
      </c>
      <c r="EM117" t="s">
        <v>180</v>
      </c>
      <c r="EO117" t="s">
        <v>3</v>
      </c>
      <c r="EQ117">
        <v>0</v>
      </c>
      <c r="ER117">
        <v>376.05</v>
      </c>
      <c r="ES117">
        <v>376.05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85"/>
        <v>0</v>
      </c>
      <c r="FS117">
        <v>0</v>
      </c>
      <c r="FX117">
        <v>0</v>
      </c>
      <c r="FY117">
        <v>0</v>
      </c>
      <c r="GA117" t="s">
        <v>3</v>
      </c>
      <c r="GD117">
        <v>1</v>
      </c>
      <c r="GF117">
        <v>1068728598</v>
      </c>
      <c r="GG117">
        <v>2</v>
      </c>
      <c r="GH117">
        <v>1</v>
      </c>
      <c r="GI117">
        <v>2</v>
      </c>
      <c r="GJ117">
        <v>0</v>
      </c>
      <c r="GK117">
        <v>0</v>
      </c>
      <c r="GL117">
        <f t="shared" si="86"/>
        <v>0</v>
      </c>
      <c r="GM117">
        <f t="shared" si="87"/>
        <v>210.96</v>
      </c>
      <c r="GN117">
        <f t="shared" si="88"/>
        <v>210.96</v>
      </c>
      <c r="GO117">
        <f t="shared" si="89"/>
        <v>0</v>
      </c>
      <c r="GP117">
        <f t="shared" si="90"/>
        <v>0</v>
      </c>
      <c r="GR117">
        <v>0</v>
      </c>
      <c r="GS117">
        <v>0</v>
      </c>
      <c r="GT117">
        <v>0</v>
      </c>
      <c r="GU117" t="s">
        <v>3</v>
      </c>
      <c r="GV117">
        <f t="shared" si="91"/>
        <v>0</v>
      </c>
      <c r="GW117">
        <v>1</v>
      </c>
      <c r="GX117">
        <f t="shared" si="92"/>
        <v>0</v>
      </c>
      <c r="HA117">
        <v>0</v>
      </c>
      <c r="HB117">
        <v>0</v>
      </c>
      <c r="HC117">
        <f t="shared" si="93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9" spans="1:245" x14ac:dyDescent="0.2">
      <c r="A119" s="2">
        <v>51</v>
      </c>
      <c r="B119" s="2">
        <f>B108</f>
        <v>1</v>
      </c>
      <c r="C119" s="2">
        <f>A108</f>
        <v>4</v>
      </c>
      <c r="D119" s="2">
        <f>ROW(A108)</f>
        <v>108</v>
      </c>
      <c r="E119" s="2"/>
      <c r="F119" s="2" t="str">
        <f>IF(F108&lt;&gt;"",F108,"")</f>
        <v>Новый раздел</v>
      </c>
      <c r="G119" s="2" t="str">
        <f>IF(G108&lt;&gt;"",G108,"")</f>
        <v>Материалы не учтенные ценником</v>
      </c>
      <c r="H119" s="2">
        <v>0</v>
      </c>
      <c r="I119" s="2"/>
      <c r="J119" s="2"/>
      <c r="K119" s="2"/>
      <c r="L119" s="2"/>
      <c r="M119" s="2"/>
      <c r="N119" s="2"/>
      <c r="O119" s="2">
        <f t="shared" ref="O119:T119" si="94">ROUND(AB119,2)</f>
        <v>76536.41</v>
      </c>
      <c r="P119" s="2">
        <f t="shared" si="94"/>
        <v>76536.41</v>
      </c>
      <c r="Q119" s="2">
        <f t="shared" si="94"/>
        <v>0</v>
      </c>
      <c r="R119" s="2">
        <f t="shared" si="94"/>
        <v>0</v>
      </c>
      <c r="S119" s="2">
        <f t="shared" si="94"/>
        <v>0</v>
      </c>
      <c r="T119" s="2">
        <f t="shared" si="94"/>
        <v>0</v>
      </c>
      <c r="U119" s="2">
        <f>AH119</f>
        <v>0</v>
      </c>
      <c r="V119" s="2">
        <f>AI119</f>
        <v>0</v>
      </c>
      <c r="W119" s="2">
        <f>ROUND(AJ119,2)</f>
        <v>0</v>
      </c>
      <c r="X119" s="2">
        <f>ROUND(AK119,2)</f>
        <v>0</v>
      </c>
      <c r="Y119" s="2">
        <f>ROUND(AL119,2)</f>
        <v>0</v>
      </c>
      <c r="Z119" s="2"/>
      <c r="AA119" s="2"/>
      <c r="AB119" s="2">
        <f>ROUND(SUMIF(AA112:AA117,"=61635504",O112:O117),2)</f>
        <v>76536.41</v>
      </c>
      <c r="AC119" s="2">
        <f>ROUND(SUMIF(AA112:AA117,"=61635504",P112:P117),2)</f>
        <v>76536.41</v>
      </c>
      <c r="AD119" s="2">
        <f>ROUND(SUMIF(AA112:AA117,"=61635504",Q112:Q117),2)</f>
        <v>0</v>
      </c>
      <c r="AE119" s="2">
        <f>ROUND(SUMIF(AA112:AA117,"=61635504",R112:R117),2)</f>
        <v>0</v>
      </c>
      <c r="AF119" s="2">
        <f>ROUND(SUMIF(AA112:AA117,"=61635504",S112:S117),2)</f>
        <v>0</v>
      </c>
      <c r="AG119" s="2">
        <f>ROUND(SUMIF(AA112:AA117,"=61635504",T112:T117),2)</f>
        <v>0</v>
      </c>
      <c r="AH119" s="2">
        <f>SUMIF(AA112:AA117,"=61635504",U112:U117)</f>
        <v>0</v>
      </c>
      <c r="AI119" s="2">
        <f>SUMIF(AA112:AA117,"=61635504",V112:V117)</f>
        <v>0</v>
      </c>
      <c r="AJ119" s="2">
        <f>ROUND(SUMIF(AA112:AA117,"=61635504",W112:W117),2)</f>
        <v>0</v>
      </c>
      <c r="AK119" s="2">
        <f>ROUND(SUMIF(AA112:AA117,"=61635504",X112:X117),2)</f>
        <v>0</v>
      </c>
      <c r="AL119" s="2">
        <f>ROUND(SUMIF(AA112:AA117,"=61635504",Y112:Y117),2)</f>
        <v>0</v>
      </c>
      <c r="AM119" s="2"/>
      <c r="AN119" s="2"/>
      <c r="AO119" s="2">
        <f t="shared" ref="AO119:BD119" si="95">ROUND(BX119,2)</f>
        <v>0</v>
      </c>
      <c r="AP119" s="2">
        <f t="shared" si="95"/>
        <v>0</v>
      </c>
      <c r="AQ119" s="2">
        <f t="shared" si="95"/>
        <v>0</v>
      </c>
      <c r="AR119" s="2">
        <f t="shared" si="95"/>
        <v>76536.41</v>
      </c>
      <c r="AS119" s="2">
        <f t="shared" si="95"/>
        <v>210.96</v>
      </c>
      <c r="AT119" s="2">
        <f t="shared" si="95"/>
        <v>76325.45</v>
      </c>
      <c r="AU119" s="2">
        <f t="shared" si="95"/>
        <v>0</v>
      </c>
      <c r="AV119" s="2">
        <f t="shared" si="95"/>
        <v>76536.41</v>
      </c>
      <c r="AW119" s="2">
        <f t="shared" si="95"/>
        <v>76536.41</v>
      </c>
      <c r="AX119" s="2">
        <f t="shared" si="95"/>
        <v>0</v>
      </c>
      <c r="AY119" s="2">
        <f t="shared" si="95"/>
        <v>76536.41</v>
      </c>
      <c r="AZ119" s="2">
        <f t="shared" si="95"/>
        <v>0</v>
      </c>
      <c r="BA119" s="2">
        <f t="shared" si="95"/>
        <v>0</v>
      </c>
      <c r="BB119" s="2">
        <f t="shared" si="95"/>
        <v>0</v>
      </c>
      <c r="BC119" s="2">
        <f t="shared" si="95"/>
        <v>0</v>
      </c>
      <c r="BD119" s="2">
        <f t="shared" si="95"/>
        <v>0</v>
      </c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>
        <f>ROUND(SUMIF(AA112:AA117,"=61635504",FQ112:FQ117),2)</f>
        <v>0</v>
      </c>
      <c r="BY119" s="2">
        <f>ROUND(SUMIF(AA112:AA117,"=61635504",FR112:FR117),2)</f>
        <v>0</v>
      </c>
      <c r="BZ119" s="2">
        <f>ROUND(SUMIF(AA112:AA117,"=61635504",GL112:GL117),2)</f>
        <v>0</v>
      </c>
      <c r="CA119" s="2">
        <f>ROUND(SUMIF(AA112:AA117,"=61635504",GM112:GM117),2)</f>
        <v>76536.41</v>
      </c>
      <c r="CB119" s="2">
        <f>ROUND(SUMIF(AA112:AA117,"=61635504",GN112:GN117),2)</f>
        <v>210.96</v>
      </c>
      <c r="CC119" s="2">
        <f>ROUND(SUMIF(AA112:AA117,"=61635504",GO112:GO117),2)</f>
        <v>76325.45</v>
      </c>
      <c r="CD119" s="2">
        <f>ROUND(SUMIF(AA112:AA117,"=61635504",GP112:GP117),2)</f>
        <v>0</v>
      </c>
      <c r="CE119" s="2">
        <f>AC119-BX119</f>
        <v>76536.41</v>
      </c>
      <c r="CF119" s="2">
        <f>AC119-BY119</f>
        <v>76536.41</v>
      </c>
      <c r="CG119" s="2">
        <f>BX119-BZ119</f>
        <v>0</v>
      </c>
      <c r="CH119" s="2">
        <f>AC119-BX119-BY119+BZ119</f>
        <v>76536.41</v>
      </c>
      <c r="CI119" s="2">
        <f>BY119-BZ119</f>
        <v>0</v>
      </c>
      <c r="CJ119" s="2">
        <f>ROUND(SUMIF(AA112:AA117,"=61635504",GX112:GX117),2)</f>
        <v>0</v>
      </c>
      <c r="CK119" s="2">
        <f>ROUND(SUMIF(AA112:AA117,"=61635504",GY112:GY117),2)</f>
        <v>0</v>
      </c>
      <c r="CL119" s="2">
        <f>ROUND(SUMIF(AA112:AA117,"=61635504",GZ112:GZ117),2)</f>
        <v>0</v>
      </c>
      <c r="CM119" s="2">
        <f>ROUND(SUMIF(AA112:AA117,"=61635504",HD112:HD117),2)</f>
        <v>0</v>
      </c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>
        <v>0</v>
      </c>
    </row>
    <row r="121" spans="1:245" x14ac:dyDescent="0.2">
      <c r="A121" s="4">
        <v>50</v>
      </c>
      <c r="B121" s="4">
        <v>0</v>
      </c>
      <c r="C121" s="4">
        <v>0</v>
      </c>
      <c r="D121" s="4">
        <v>1</v>
      </c>
      <c r="E121" s="4">
        <v>201</v>
      </c>
      <c r="F121" s="4">
        <f>ROUND(Source!O119,O121)</f>
        <v>76536.41</v>
      </c>
      <c r="G121" s="4" t="s">
        <v>52</v>
      </c>
      <c r="H121" s="4" t="s">
        <v>53</v>
      </c>
      <c r="I121" s="4"/>
      <c r="J121" s="4"/>
      <c r="K121" s="4">
        <v>201</v>
      </c>
      <c r="L121" s="4">
        <v>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76536.41</v>
      </c>
      <c r="X121" s="4">
        <v>1</v>
      </c>
      <c r="Y121" s="4">
        <v>76536.41</v>
      </c>
      <c r="Z121" s="4"/>
      <c r="AA121" s="4"/>
      <c r="AB121" s="4"/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202</v>
      </c>
      <c r="F122" s="4">
        <f>ROUND(Source!P119,O122)</f>
        <v>76536.41</v>
      </c>
      <c r="G122" s="4" t="s">
        <v>54</v>
      </c>
      <c r="H122" s="4" t="s">
        <v>55</v>
      </c>
      <c r="I122" s="4"/>
      <c r="J122" s="4"/>
      <c r="K122" s="4">
        <v>202</v>
      </c>
      <c r="L122" s="4">
        <v>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76536.41</v>
      </c>
      <c r="X122" s="4">
        <v>1</v>
      </c>
      <c r="Y122" s="4">
        <v>76536.41</v>
      </c>
      <c r="Z122" s="4"/>
      <c r="AA122" s="4"/>
      <c r="AB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222</v>
      </c>
      <c r="F123" s="4">
        <f>ROUND(Source!AO119,O123)</f>
        <v>0</v>
      </c>
      <c r="G123" s="4" t="s">
        <v>56</v>
      </c>
      <c r="H123" s="4" t="s">
        <v>57</v>
      </c>
      <c r="I123" s="4"/>
      <c r="J123" s="4"/>
      <c r="K123" s="4">
        <v>222</v>
      </c>
      <c r="L123" s="4">
        <v>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225</v>
      </c>
      <c r="F124" s="4">
        <f>ROUND(Source!AV119,O124)</f>
        <v>76536.41</v>
      </c>
      <c r="G124" s="4" t="s">
        <v>58</v>
      </c>
      <c r="H124" s="4" t="s">
        <v>59</v>
      </c>
      <c r="I124" s="4"/>
      <c r="J124" s="4"/>
      <c r="K124" s="4">
        <v>225</v>
      </c>
      <c r="L124" s="4">
        <v>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76536.41</v>
      </c>
      <c r="X124" s="4">
        <v>1</v>
      </c>
      <c r="Y124" s="4">
        <v>76536.41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226</v>
      </c>
      <c r="F125" s="4">
        <f>ROUND(Source!AW119,O125)</f>
        <v>76536.41</v>
      </c>
      <c r="G125" s="4" t="s">
        <v>60</v>
      </c>
      <c r="H125" s="4" t="s">
        <v>61</v>
      </c>
      <c r="I125" s="4"/>
      <c r="J125" s="4"/>
      <c r="K125" s="4">
        <v>226</v>
      </c>
      <c r="L125" s="4">
        <v>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76536.41</v>
      </c>
      <c r="X125" s="4">
        <v>1</v>
      </c>
      <c r="Y125" s="4">
        <v>76536.41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227</v>
      </c>
      <c r="F126" s="4">
        <f>ROUND(Source!AX119,O126)</f>
        <v>0</v>
      </c>
      <c r="G126" s="4" t="s">
        <v>62</v>
      </c>
      <c r="H126" s="4" t="s">
        <v>63</v>
      </c>
      <c r="I126" s="4"/>
      <c r="J126" s="4"/>
      <c r="K126" s="4">
        <v>227</v>
      </c>
      <c r="L126" s="4">
        <v>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228</v>
      </c>
      <c r="F127" s="4">
        <f>ROUND(Source!AY119,O127)</f>
        <v>76536.41</v>
      </c>
      <c r="G127" s="4" t="s">
        <v>64</v>
      </c>
      <c r="H127" s="4" t="s">
        <v>65</v>
      </c>
      <c r="I127" s="4"/>
      <c r="J127" s="4"/>
      <c r="K127" s="4">
        <v>228</v>
      </c>
      <c r="L127" s="4">
        <v>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76536.41</v>
      </c>
      <c r="X127" s="4">
        <v>1</v>
      </c>
      <c r="Y127" s="4">
        <v>76536.41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216</v>
      </c>
      <c r="F128" s="4">
        <f>ROUND(Source!AP119,O128)</f>
        <v>0</v>
      </c>
      <c r="G128" s="4" t="s">
        <v>66</v>
      </c>
      <c r="H128" s="4" t="s">
        <v>67</v>
      </c>
      <c r="I128" s="4"/>
      <c r="J128" s="4"/>
      <c r="K128" s="4">
        <v>216</v>
      </c>
      <c r="L128" s="4">
        <v>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223</v>
      </c>
      <c r="F129" s="4">
        <f>ROUND(Source!AQ119,O129)</f>
        <v>0</v>
      </c>
      <c r="G129" s="4" t="s">
        <v>68</v>
      </c>
      <c r="H129" s="4" t="s">
        <v>69</v>
      </c>
      <c r="I129" s="4"/>
      <c r="J129" s="4"/>
      <c r="K129" s="4">
        <v>223</v>
      </c>
      <c r="L129" s="4">
        <v>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229</v>
      </c>
      <c r="F130" s="4">
        <f>ROUND(Source!AZ119,O130)</f>
        <v>0</v>
      </c>
      <c r="G130" s="4" t="s">
        <v>70</v>
      </c>
      <c r="H130" s="4" t="s">
        <v>71</v>
      </c>
      <c r="I130" s="4"/>
      <c r="J130" s="4"/>
      <c r="K130" s="4">
        <v>229</v>
      </c>
      <c r="L130" s="4">
        <v>10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203</v>
      </c>
      <c r="F131" s="4">
        <f>ROUND(Source!Q119,O131)</f>
        <v>0</v>
      </c>
      <c r="G131" s="4" t="s">
        <v>72</v>
      </c>
      <c r="H131" s="4" t="s">
        <v>73</v>
      </c>
      <c r="I131" s="4"/>
      <c r="J131" s="4"/>
      <c r="K131" s="4">
        <v>203</v>
      </c>
      <c r="L131" s="4">
        <v>11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231</v>
      </c>
      <c r="F132" s="4">
        <f>ROUND(Source!BB119,O132)</f>
        <v>0</v>
      </c>
      <c r="G132" s="4" t="s">
        <v>74</v>
      </c>
      <c r="H132" s="4" t="s">
        <v>75</v>
      </c>
      <c r="I132" s="4"/>
      <c r="J132" s="4"/>
      <c r="K132" s="4">
        <v>231</v>
      </c>
      <c r="L132" s="4">
        <v>12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204</v>
      </c>
      <c r="F133" s="4">
        <f>ROUND(Source!R119,O133)</f>
        <v>0</v>
      </c>
      <c r="G133" s="4" t="s">
        <v>76</v>
      </c>
      <c r="H133" s="4" t="s">
        <v>77</v>
      </c>
      <c r="I133" s="4"/>
      <c r="J133" s="4"/>
      <c r="K133" s="4">
        <v>204</v>
      </c>
      <c r="L133" s="4">
        <v>13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205</v>
      </c>
      <c r="F134" s="4">
        <f>ROUND(Source!S119,O134)</f>
        <v>0</v>
      </c>
      <c r="G134" s="4" t="s">
        <v>78</v>
      </c>
      <c r="H134" s="4" t="s">
        <v>79</v>
      </c>
      <c r="I134" s="4"/>
      <c r="J134" s="4"/>
      <c r="K134" s="4">
        <v>205</v>
      </c>
      <c r="L134" s="4">
        <v>14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232</v>
      </c>
      <c r="F135" s="4">
        <f>ROUND(Source!BC119,O135)</f>
        <v>0</v>
      </c>
      <c r="G135" s="4" t="s">
        <v>80</v>
      </c>
      <c r="H135" s="4" t="s">
        <v>81</v>
      </c>
      <c r="I135" s="4"/>
      <c r="J135" s="4"/>
      <c r="K135" s="4">
        <v>232</v>
      </c>
      <c r="L135" s="4">
        <v>15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214</v>
      </c>
      <c r="F136" s="4">
        <f>ROUND(Source!AS119,O136)</f>
        <v>210.96</v>
      </c>
      <c r="G136" s="4" t="s">
        <v>82</v>
      </c>
      <c r="H136" s="4" t="s">
        <v>83</v>
      </c>
      <c r="I136" s="4"/>
      <c r="J136" s="4"/>
      <c r="K136" s="4">
        <v>214</v>
      </c>
      <c r="L136" s="4">
        <v>16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210.96</v>
      </c>
      <c r="X136" s="4">
        <v>1</v>
      </c>
      <c r="Y136" s="4">
        <v>210.96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215</v>
      </c>
      <c r="F137" s="4">
        <f>ROUND(Source!AT119,O137)</f>
        <v>76325.45</v>
      </c>
      <c r="G137" s="4" t="s">
        <v>84</v>
      </c>
      <c r="H137" s="4" t="s">
        <v>85</v>
      </c>
      <c r="I137" s="4"/>
      <c r="J137" s="4"/>
      <c r="K137" s="4">
        <v>215</v>
      </c>
      <c r="L137" s="4">
        <v>17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76325.45</v>
      </c>
      <c r="X137" s="4">
        <v>1</v>
      </c>
      <c r="Y137" s="4">
        <v>76325.45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217</v>
      </c>
      <c r="F138" s="4">
        <f>ROUND(Source!AU119,O138)</f>
        <v>0</v>
      </c>
      <c r="G138" s="4" t="s">
        <v>86</v>
      </c>
      <c r="H138" s="4" t="s">
        <v>87</v>
      </c>
      <c r="I138" s="4"/>
      <c r="J138" s="4"/>
      <c r="K138" s="4">
        <v>217</v>
      </c>
      <c r="L138" s="4">
        <v>18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230</v>
      </c>
      <c r="F139" s="4">
        <f>ROUND(Source!BA119,O139)</f>
        <v>0</v>
      </c>
      <c r="G139" s="4" t="s">
        <v>88</v>
      </c>
      <c r="H139" s="4" t="s">
        <v>89</v>
      </c>
      <c r="I139" s="4"/>
      <c r="J139" s="4"/>
      <c r="K139" s="4">
        <v>230</v>
      </c>
      <c r="L139" s="4">
        <v>19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206</v>
      </c>
      <c r="F140" s="4">
        <f>ROUND(Source!T119,O140)</f>
        <v>0</v>
      </c>
      <c r="G140" s="4" t="s">
        <v>90</v>
      </c>
      <c r="H140" s="4" t="s">
        <v>91</v>
      </c>
      <c r="I140" s="4"/>
      <c r="J140" s="4"/>
      <c r="K140" s="4">
        <v>206</v>
      </c>
      <c r="L140" s="4">
        <v>20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207</v>
      </c>
      <c r="F141" s="4">
        <f>ROUND(Source!U119,O141)</f>
        <v>0</v>
      </c>
      <c r="G141" s="4" t="s">
        <v>92</v>
      </c>
      <c r="H141" s="4" t="s">
        <v>93</v>
      </c>
      <c r="I141" s="4"/>
      <c r="J141" s="4"/>
      <c r="K141" s="4">
        <v>207</v>
      </c>
      <c r="L141" s="4">
        <v>21</v>
      </c>
      <c r="M141" s="4">
        <v>3</v>
      </c>
      <c r="N141" s="4" t="s">
        <v>3</v>
      </c>
      <c r="O141" s="4">
        <v>7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208</v>
      </c>
      <c r="F142" s="4">
        <f>ROUND(Source!V119,O142)</f>
        <v>0</v>
      </c>
      <c r="G142" s="4" t="s">
        <v>94</v>
      </c>
      <c r="H142" s="4" t="s">
        <v>95</v>
      </c>
      <c r="I142" s="4"/>
      <c r="J142" s="4"/>
      <c r="K142" s="4">
        <v>208</v>
      </c>
      <c r="L142" s="4">
        <v>22</v>
      </c>
      <c r="M142" s="4">
        <v>3</v>
      </c>
      <c r="N142" s="4" t="s">
        <v>3</v>
      </c>
      <c r="O142" s="4">
        <v>7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209</v>
      </c>
      <c r="F143" s="4">
        <f>ROUND(Source!W119,O143)</f>
        <v>0</v>
      </c>
      <c r="G143" s="4" t="s">
        <v>96</v>
      </c>
      <c r="H143" s="4" t="s">
        <v>97</v>
      </c>
      <c r="I143" s="4"/>
      <c r="J143" s="4"/>
      <c r="K143" s="4">
        <v>209</v>
      </c>
      <c r="L143" s="4">
        <v>23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233</v>
      </c>
      <c r="F144" s="4">
        <f>ROUND(Source!BD119,O144)</f>
        <v>0</v>
      </c>
      <c r="G144" s="4" t="s">
        <v>98</v>
      </c>
      <c r="H144" s="4" t="s">
        <v>99</v>
      </c>
      <c r="I144" s="4"/>
      <c r="J144" s="4"/>
      <c r="K144" s="4">
        <v>233</v>
      </c>
      <c r="L144" s="4">
        <v>24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210</v>
      </c>
      <c r="F145" s="4">
        <f>ROUND(Source!X119,O145)</f>
        <v>0</v>
      </c>
      <c r="G145" s="4" t="s">
        <v>100</v>
      </c>
      <c r="H145" s="4" t="s">
        <v>101</v>
      </c>
      <c r="I145" s="4"/>
      <c r="J145" s="4"/>
      <c r="K145" s="4">
        <v>210</v>
      </c>
      <c r="L145" s="4">
        <v>25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211</v>
      </c>
      <c r="F146" s="4">
        <f>ROUND(Source!Y119,O146)</f>
        <v>0</v>
      </c>
      <c r="G146" s="4" t="s">
        <v>102</v>
      </c>
      <c r="H146" s="4" t="s">
        <v>103</v>
      </c>
      <c r="I146" s="4"/>
      <c r="J146" s="4"/>
      <c r="K146" s="4">
        <v>211</v>
      </c>
      <c r="L146" s="4">
        <v>26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224</v>
      </c>
      <c r="F147" s="4">
        <f>ROUND(Source!AR119,O147)</f>
        <v>76536.41</v>
      </c>
      <c r="G147" s="4" t="s">
        <v>104</v>
      </c>
      <c r="H147" s="4" t="s">
        <v>105</v>
      </c>
      <c r="I147" s="4"/>
      <c r="J147" s="4"/>
      <c r="K147" s="4">
        <v>224</v>
      </c>
      <c r="L147" s="4">
        <v>27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76536.41</v>
      </c>
      <c r="X147" s="4">
        <v>1</v>
      </c>
      <c r="Y147" s="4">
        <v>76536.41</v>
      </c>
      <c r="Z147" s="4"/>
      <c r="AA147" s="4"/>
      <c r="AB147" s="4"/>
    </row>
    <row r="149" spans="1:245" x14ac:dyDescent="0.2">
      <c r="A149" s="1">
        <v>4</v>
      </c>
      <c r="B149" s="1">
        <v>1</v>
      </c>
      <c r="C149" s="1"/>
      <c r="D149" s="1">
        <f>ROW(A159)</f>
        <v>159</v>
      </c>
      <c r="E149" s="1"/>
      <c r="F149" s="1" t="s">
        <v>18</v>
      </c>
      <c r="G149" s="1" t="s">
        <v>181</v>
      </c>
      <c r="H149" s="1" t="s">
        <v>3</v>
      </c>
      <c r="I149" s="1">
        <v>0</v>
      </c>
      <c r="J149" s="1"/>
      <c r="K149" s="1">
        <v>0</v>
      </c>
      <c r="L149" s="1"/>
      <c r="M149" s="1" t="s">
        <v>3</v>
      </c>
      <c r="N149" s="1"/>
      <c r="O149" s="1"/>
      <c r="P149" s="1"/>
      <c r="Q149" s="1"/>
      <c r="R149" s="1"/>
      <c r="S149" s="1">
        <v>0</v>
      </c>
      <c r="T149" s="1"/>
      <c r="U149" s="1" t="s">
        <v>3</v>
      </c>
      <c r="V149" s="1">
        <v>0</v>
      </c>
      <c r="W149" s="1"/>
      <c r="X149" s="1"/>
      <c r="Y149" s="1"/>
      <c r="Z149" s="1"/>
      <c r="AA149" s="1"/>
      <c r="AB149" s="1" t="s">
        <v>3</v>
      </c>
      <c r="AC149" s="1" t="s">
        <v>3</v>
      </c>
      <c r="AD149" s="1" t="s">
        <v>3</v>
      </c>
      <c r="AE149" s="1" t="s">
        <v>3</v>
      </c>
      <c r="AF149" s="1" t="s">
        <v>3</v>
      </c>
      <c r="AG149" s="1" t="s">
        <v>3</v>
      </c>
      <c r="AH149" s="1"/>
      <c r="AI149" s="1"/>
      <c r="AJ149" s="1"/>
      <c r="AK149" s="1"/>
      <c r="AL149" s="1"/>
      <c r="AM149" s="1"/>
      <c r="AN149" s="1"/>
      <c r="AO149" s="1"/>
      <c r="AP149" s="1" t="s">
        <v>3</v>
      </c>
      <c r="AQ149" s="1" t="s">
        <v>3</v>
      </c>
      <c r="AR149" s="1" t="s">
        <v>3</v>
      </c>
      <c r="AS149" s="1"/>
      <c r="AT149" s="1"/>
      <c r="AU149" s="1"/>
      <c r="AV149" s="1"/>
      <c r="AW149" s="1"/>
      <c r="AX149" s="1"/>
      <c r="AY149" s="1"/>
      <c r="AZ149" s="1" t="s">
        <v>3</v>
      </c>
      <c r="BA149" s="1"/>
      <c r="BB149" s="1" t="s">
        <v>3</v>
      </c>
      <c r="BC149" s="1" t="s">
        <v>3</v>
      </c>
      <c r="BD149" s="1" t="s">
        <v>3</v>
      </c>
      <c r="BE149" s="1" t="s">
        <v>3</v>
      </c>
      <c r="BF149" s="1" t="s">
        <v>3</v>
      </c>
      <c r="BG149" s="1" t="s">
        <v>3</v>
      </c>
      <c r="BH149" s="1" t="s">
        <v>3</v>
      </c>
      <c r="BI149" s="1" t="s">
        <v>3</v>
      </c>
      <c r="BJ149" s="1" t="s">
        <v>3</v>
      </c>
      <c r="BK149" s="1" t="s">
        <v>3</v>
      </c>
      <c r="BL149" s="1" t="s">
        <v>3</v>
      </c>
      <c r="BM149" s="1" t="s">
        <v>3</v>
      </c>
      <c r="BN149" s="1" t="s">
        <v>3</v>
      </c>
      <c r="BO149" s="1" t="s">
        <v>3</v>
      </c>
      <c r="BP149" s="1" t="s">
        <v>3</v>
      </c>
      <c r="BQ149" s="1"/>
      <c r="BR149" s="1"/>
      <c r="BS149" s="1"/>
      <c r="BT149" s="1"/>
      <c r="BU149" s="1"/>
      <c r="BV149" s="1"/>
      <c r="BW149" s="1"/>
      <c r="BX149" s="1">
        <v>0</v>
      </c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>
        <v>0</v>
      </c>
    </row>
    <row r="151" spans="1:245" x14ac:dyDescent="0.2">
      <c r="A151" s="2">
        <v>52</v>
      </c>
      <c r="B151" s="2">
        <f t="shared" ref="B151:G151" si="96">B159</f>
        <v>1</v>
      </c>
      <c r="C151" s="2">
        <f t="shared" si="96"/>
        <v>4</v>
      </c>
      <c r="D151" s="2">
        <f t="shared" si="96"/>
        <v>149</v>
      </c>
      <c r="E151" s="2">
        <f t="shared" si="96"/>
        <v>0</v>
      </c>
      <c r="F151" s="2" t="str">
        <f t="shared" si="96"/>
        <v>Новый раздел</v>
      </c>
      <c r="G151" s="2" t="str">
        <f t="shared" si="96"/>
        <v>Прочие работы</v>
      </c>
      <c r="H151" s="2"/>
      <c r="I151" s="2"/>
      <c r="J151" s="2"/>
      <c r="K151" s="2"/>
      <c r="L151" s="2"/>
      <c r="M151" s="2"/>
      <c r="N151" s="2"/>
      <c r="O151" s="2">
        <f t="shared" ref="O151:AT151" si="97">O159</f>
        <v>23325.82</v>
      </c>
      <c r="P151" s="2">
        <f t="shared" si="97"/>
        <v>0</v>
      </c>
      <c r="Q151" s="2">
        <f t="shared" si="97"/>
        <v>6537.28</v>
      </c>
      <c r="R151" s="2">
        <f t="shared" si="97"/>
        <v>0</v>
      </c>
      <c r="S151" s="2">
        <f t="shared" si="97"/>
        <v>16788.54</v>
      </c>
      <c r="T151" s="2">
        <f t="shared" si="97"/>
        <v>0</v>
      </c>
      <c r="U151" s="2">
        <f t="shared" si="97"/>
        <v>43.8</v>
      </c>
      <c r="V151" s="2">
        <f t="shared" si="97"/>
        <v>0</v>
      </c>
      <c r="W151" s="2">
        <f t="shared" si="97"/>
        <v>0</v>
      </c>
      <c r="X151" s="2">
        <f t="shared" si="97"/>
        <v>17124.310000000001</v>
      </c>
      <c r="Y151" s="2">
        <f t="shared" si="97"/>
        <v>9065.81</v>
      </c>
      <c r="Z151" s="2">
        <f t="shared" si="97"/>
        <v>0</v>
      </c>
      <c r="AA151" s="2">
        <f t="shared" si="97"/>
        <v>0</v>
      </c>
      <c r="AB151" s="2">
        <f t="shared" si="97"/>
        <v>23325.82</v>
      </c>
      <c r="AC151" s="2">
        <f t="shared" si="97"/>
        <v>0</v>
      </c>
      <c r="AD151" s="2">
        <f t="shared" si="97"/>
        <v>6537.28</v>
      </c>
      <c r="AE151" s="2">
        <f t="shared" si="97"/>
        <v>0</v>
      </c>
      <c r="AF151" s="2">
        <f t="shared" si="97"/>
        <v>16788.54</v>
      </c>
      <c r="AG151" s="2">
        <f t="shared" si="97"/>
        <v>0</v>
      </c>
      <c r="AH151" s="2">
        <f t="shared" si="97"/>
        <v>43.8</v>
      </c>
      <c r="AI151" s="2">
        <f t="shared" si="97"/>
        <v>0</v>
      </c>
      <c r="AJ151" s="2">
        <f t="shared" si="97"/>
        <v>0</v>
      </c>
      <c r="AK151" s="2">
        <f t="shared" si="97"/>
        <v>17124.310000000001</v>
      </c>
      <c r="AL151" s="2">
        <f t="shared" si="97"/>
        <v>9065.81</v>
      </c>
      <c r="AM151" s="2">
        <f t="shared" si="97"/>
        <v>0</v>
      </c>
      <c r="AN151" s="2">
        <f t="shared" si="97"/>
        <v>0</v>
      </c>
      <c r="AO151" s="2">
        <f t="shared" si="97"/>
        <v>0</v>
      </c>
      <c r="AP151" s="2">
        <f t="shared" si="97"/>
        <v>0</v>
      </c>
      <c r="AQ151" s="2">
        <f t="shared" si="97"/>
        <v>0</v>
      </c>
      <c r="AR151" s="2">
        <f t="shared" si="97"/>
        <v>61447.24</v>
      </c>
      <c r="AS151" s="2">
        <f t="shared" si="97"/>
        <v>61447.24</v>
      </c>
      <c r="AT151" s="2">
        <f t="shared" si="97"/>
        <v>0</v>
      </c>
      <c r="AU151" s="2">
        <f t="shared" ref="AU151:BZ151" si="98">AU159</f>
        <v>0</v>
      </c>
      <c r="AV151" s="2">
        <f t="shared" si="98"/>
        <v>0</v>
      </c>
      <c r="AW151" s="2">
        <f t="shared" si="98"/>
        <v>0</v>
      </c>
      <c r="AX151" s="2">
        <f t="shared" si="98"/>
        <v>0</v>
      </c>
      <c r="AY151" s="2">
        <f t="shared" si="98"/>
        <v>0</v>
      </c>
      <c r="AZ151" s="2">
        <f t="shared" si="98"/>
        <v>0</v>
      </c>
      <c r="BA151" s="2">
        <f t="shared" si="98"/>
        <v>0</v>
      </c>
      <c r="BB151" s="2">
        <f t="shared" si="98"/>
        <v>0</v>
      </c>
      <c r="BC151" s="2">
        <f t="shared" si="98"/>
        <v>0</v>
      </c>
      <c r="BD151" s="2">
        <f t="shared" si="98"/>
        <v>11931.3</v>
      </c>
      <c r="BE151" s="2">
        <f t="shared" si="98"/>
        <v>0</v>
      </c>
      <c r="BF151" s="2">
        <f t="shared" si="98"/>
        <v>0</v>
      </c>
      <c r="BG151" s="2">
        <f t="shared" si="98"/>
        <v>0</v>
      </c>
      <c r="BH151" s="2">
        <f t="shared" si="98"/>
        <v>0</v>
      </c>
      <c r="BI151" s="2">
        <f t="shared" si="98"/>
        <v>0</v>
      </c>
      <c r="BJ151" s="2">
        <f t="shared" si="98"/>
        <v>0</v>
      </c>
      <c r="BK151" s="2">
        <f t="shared" si="98"/>
        <v>0</v>
      </c>
      <c r="BL151" s="2">
        <f t="shared" si="98"/>
        <v>0</v>
      </c>
      <c r="BM151" s="2">
        <f t="shared" si="98"/>
        <v>0</v>
      </c>
      <c r="BN151" s="2">
        <f t="shared" si="98"/>
        <v>0</v>
      </c>
      <c r="BO151" s="2">
        <f t="shared" si="98"/>
        <v>0</v>
      </c>
      <c r="BP151" s="2">
        <f t="shared" si="98"/>
        <v>0</v>
      </c>
      <c r="BQ151" s="2">
        <f t="shared" si="98"/>
        <v>0</v>
      </c>
      <c r="BR151" s="2">
        <f t="shared" si="98"/>
        <v>0</v>
      </c>
      <c r="BS151" s="2">
        <f t="shared" si="98"/>
        <v>0</v>
      </c>
      <c r="BT151" s="2">
        <f t="shared" si="98"/>
        <v>0</v>
      </c>
      <c r="BU151" s="2">
        <f t="shared" si="98"/>
        <v>0</v>
      </c>
      <c r="BV151" s="2">
        <f t="shared" si="98"/>
        <v>0</v>
      </c>
      <c r="BW151" s="2">
        <f t="shared" si="98"/>
        <v>0</v>
      </c>
      <c r="BX151" s="2">
        <f t="shared" si="98"/>
        <v>0</v>
      </c>
      <c r="BY151" s="2">
        <f t="shared" si="98"/>
        <v>0</v>
      </c>
      <c r="BZ151" s="2">
        <f t="shared" si="98"/>
        <v>0</v>
      </c>
      <c r="CA151" s="2">
        <f t="shared" ref="CA151:DF151" si="99">CA159</f>
        <v>61447.24</v>
      </c>
      <c r="CB151" s="2">
        <f t="shared" si="99"/>
        <v>61447.24</v>
      </c>
      <c r="CC151" s="2">
        <f t="shared" si="99"/>
        <v>0</v>
      </c>
      <c r="CD151" s="2">
        <f t="shared" si="99"/>
        <v>0</v>
      </c>
      <c r="CE151" s="2">
        <f t="shared" si="99"/>
        <v>0</v>
      </c>
      <c r="CF151" s="2">
        <f t="shared" si="99"/>
        <v>0</v>
      </c>
      <c r="CG151" s="2">
        <f t="shared" si="99"/>
        <v>0</v>
      </c>
      <c r="CH151" s="2">
        <f t="shared" si="99"/>
        <v>0</v>
      </c>
      <c r="CI151" s="2">
        <f t="shared" si="99"/>
        <v>0</v>
      </c>
      <c r="CJ151" s="2">
        <f t="shared" si="99"/>
        <v>0</v>
      </c>
      <c r="CK151" s="2">
        <f t="shared" si="99"/>
        <v>0</v>
      </c>
      <c r="CL151" s="2">
        <f t="shared" si="99"/>
        <v>0</v>
      </c>
      <c r="CM151" s="2">
        <f t="shared" si="99"/>
        <v>11931.3</v>
      </c>
      <c r="CN151" s="2">
        <f t="shared" si="99"/>
        <v>0</v>
      </c>
      <c r="CO151" s="2">
        <f t="shared" si="99"/>
        <v>0</v>
      </c>
      <c r="CP151" s="2">
        <f t="shared" si="99"/>
        <v>0</v>
      </c>
      <c r="CQ151" s="2">
        <f t="shared" si="99"/>
        <v>0</v>
      </c>
      <c r="CR151" s="2">
        <f t="shared" si="99"/>
        <v>0</v>
      </c>
      <c r="CS151" s="2">
        <f t="shared" si="99"/>
        <v>0</v>
      </c>
      <c r="CT151" s="2">
        <f t="shared" si="99"/>
        <v>0</v>
      </c>
      <c r="CU151" s="2">
        <f t="shared" si="99"/>
        <v>0</v>
      </c>
      <c r="CV151" s="2">
        <f t="shared" si="99"/>
        <v>0</v>
      </c>
      <c r="CW151" s="2">
        <f t="shared" si="99"/>
        <v>0</v>
      </c>
      <c r="CX151" s="2">
        <f t="shared" si="99"/>
        <v>0</v>
      </c>
      <c r="CY151" s="2">
        <f t="shared" si="99"/>
        <v>0</v>
      </c>
      <c r="CZ151" s="2">
        <f t="shared" si="99"/>
        <v>0</v>
      </c>
      <c r="DA151" s="2">
        <f t="shared" si="99"/>
        <v>0</v>
      </c>
      <c r="DB151" s="2">
        <f t="shared" si="99"/>
        <v>0</v>
      </c>
      <c r="DC151" s="2">
        <f t="shared" si="99"/>
        <v>0</v>
      </c>
      <c r="DD151" s="2">
        <f t="shared" si="99"/>
        <v>0</v>
      </c>
      <c r="DE151" s="2">
        <f t="shared" si="99"/>
        <v>0</v>
      </c>
      <c r="DF151" s="2">
        <f t="shared" si="99"/>
        <v>0</v>
      </c>
      <c r="DG151" s="3">
        <f t="shared" ref="DG151:EL151" si="100">DG159</f>
        <v>0</v>
      </c>
      <c r="DH151" s="3">
        <f t="shared" si="100"/>
        <v>0</v>
      </c>
      <c r="DI151" s="3">
        <f t="shared" si="100"/>
        <v>0</v>
      </c>
      <c r="DJ151" s="3">
        <f t="shared" si="100"/>
        <v>0</v>
      </c>
      <c r="DK151" s="3">
        <f t="shared" si="100"/>
        <v>0</v>
      </c>
      <c r="DL151" s="3">
        <f t="shared" si="100"/>
        <v>0</v>
      </c>
      <c r="DM151" s="3">
        <f t="shared" si="100"/>
        <v>0</v>
      </c>
      <c r="DN151" s="3">
        <f t="shared" si="100"/>
        <v>0</v>
      </c>
      <c r="DO151" s="3">
        <f t="shared" si="100"/>
        <v>0</v>
      </c>
      <c r="DP151" s="3">
        <f t="shared" si="100"/>
        <v>0</v>
      </c>
      <c r="DQ151" s="3">
        <f t="shared" si="100"/>
        <v>0</v>
      </c>
      <c r="DR151" s="3">
        <f t="shared" si="100"/>
        <v>0</v>
      </c>
      <c r="DS151" s="3">
        <f t="shared" si="100"/>
        <v>0</v>
      </c>
      <c r="DT151" s="3">
        <f t="shared" si="100"/>
        <v>0</v>
      </c>
      <c r="DU151" s="3">
        <f t="shared" si="100"/>
        <v>0</v>
      </c>
      <c r="DV151" s="3">
        <f t="shared" si="100"/>
        <v>0</v>
      </c>
      <c r="DW151" s="3">
        <f t="shared" si="100"/>
        <v>0</v>
      </c>
      <c r="DX151" s="3">
        <f t="shared" si="100"/>
        <v>0</v>
      </c>
      <c r="DY151" s="3">
        <f t="shared" si="100"/>
        <v>0</v>
      </c>
      <c r="DZ151" s="3">
        <f t="shared" si="100"/>
        <v>0</v>
      </c>
      <c r="EA151" s="3">
        <f t="shared" si="100"/>
        <v>0</v>
      </c>
      <c r="EB151" s="3">
        <f t="shared" si="100"/>
        <v>0</v>
      </c>
      <c r="EC151" s="3">
        <f t="shared" si="100"/>
        <v>0</v>
      </c>
      <c r="ED151" s="3">
        <f t="shared" si="100"/>
        <v>0</v>
      </c>
      <c r="EE151" s="3">
        <f t="shared" si="100"/>
        <v>0</v>
      </c>
      <c r="EF151" s="3">
        <f t="shared" si="100"/>
        <v>0</v>
      </c>
      <c r="EG151" s="3">
        <f t="shared" si="100"/>
        <v>0</v>
      </c>
      <c r="EH151" s="3">
        <f t="shared" si="100"/>
        <v>0</v>
      </c>
      <c r="EI151" s="3">
        <f t="shared" si="100"/>
        <v>0</v>
      </c>
      <c r="EJ151" s="3">
        <f t="shared" si="100"/>
        <v>0</v>
      </c>
      <c r="EK151" s="3">
        <f t="shared" si="100"/>
        <v>0</v>
      </c>
      <c r="EL151" s="3">
        <f t="shared" si="100"/>
        <v>0</v>
      </c>
      <c r="EM151" s="3">
        <f t="shared" ref="EM151:FR151" si="101">EM159</f>
        <v>0</v>
      </c>
      <c r="EN151" s="3">
        <f t="shared" si="101"/>
        <v>0</v>
      </c>
      <c r="EO151" s="3">
        <f t="shared" si="101"/>
        <v>0</v>
      </c>
      <c r="EP151" s="3">
        <f t="shared" si="101"/>
        <v>0</v>
      </c>
      <c r="EQ151" s="3">
        <f t="shared" si="101"/>
        <v>0</v>
      </c>
      <c r="ER151" s="3">
        <f t="shared" si="101"/>
        <v>0</v>
      </c>
      <c r="ES151" s="3">
        <f t="shared" si="101"/>
        <v>0</v>
      </c>
      <c r="ET151" s="3">
        <f t="shared" si="101"/>
        <v>0</v>
      </c>
      <c r="EU151" s="3">
        <f t="shared" si="101"/>
        <v>0</v>
      </c>
      <c r="EV151" s="3">
        <f t="shared" si="101"/>
        <v>0</v>
      </c>
      <c r="EW151" s="3">
        <f t="shared" si="101"/>
        <v>0</v>
      </c>
      <c r="EX151" s="3">
        <f t="shared" si="101"/>
        <v>0</v>
      </c>
      <c r="EY151" s="3">
        <f t="shared" si="101"/>
        <v>0</v>
      </c>
      <c r="EZ151" s="3">
        <f t="shared" si="101"/>
        <v>0</v>
      </c>
      <c r="FA151" s="3">
        <f t="shared" si="101"/>
        <v>0</v>
      </c>
      <c r="FB151" s="3">
        <f t="shared" si="101"/>
        <v>0</v>
      </c>
      <c r="FC151" s="3">
        <f t="shared" si="101"/>
        <v>0</v>
      </c>
      <c r="FD151" s="3">
        <f t="shared" si="101"/>
        <v>0</v>
      </c>
      <c r="FE151" s="3">
        <f t="shared" si="101"/>
        <v>0</v>
      </c>
      <c r="FF151" s="3">
        <f t="shared" si="101"/>
        <v>0</v>
      </c>
      <c r="FG151" s="3">
        <f t="shared" si="101"/>
        <v>0</v>
      </c>
      <c r="FH151" s="3">
        <f t="shared" si="101"/>
        <v>0</v>
      </c>
      <c r="FI151" s="3">
        <f t="shared" si="101"/>
        <v>0</v>
      </c>
      <c r="FJ151" s="3">
        <f t="shared" si="101"/>
        <v>0</v>
      </c>
      <c r="FK151" s="3">
        <f t="shared" si="101"/>
        <v>0</v>
      </c>
      <c r="FL151" s="3">
        <f t="shared" si="101"/>
        <v>0</v>
      </c>
      <c r="FM151" s="3">
        <f t="shared" si="101"/>
        <v>0</v>
      </c>
      <c r="FN151" s="3">
        <f t="shared" si="101"/>
        <v>0</v>
      </c>
      <c r="FO151" s="3">
        <f t="shared" si="101"/>
        <v>0</v>
      </c>
      <c r="FP151" s="3">
        <f t="shared" si="101"/>
        <v>0</v>
      </c>
      <c r="FQ151" s="3">
        <f t="shared" si="101"/>
        <v>0</v>
      </c>
      <c r="FR151" s="3">
        <f t="shared" si="101"/>
        <v>0</v>
      </c>
      <c r="FS151" s="3">
        <f t="shared" ref="FS151:GX151" si="102">FS159</f>
        <v>0</v>
      </c>
      <c r="FT151" s="3">
        <f t="shared" si="102"/>
        <v>0</v>
      </c>
      <c r="FU151" s="3">
        <f t="shared" si="102"/>
        <v>0</v>
      </c>
      <c r="FV151" s="3">
        <f t="shared" si="102"/>
        <v>0</v>
      </c>
      <c r="FW151" s="3">
        <f t="shared" si="102"/>
        <v>0</v>
      </c>
      <c r="FX151" s="3">
        <f t="shared" si="102"/>
        <v>0</v>
      </c>
      <c r="FY151" s="3">
        <f t="shared" si="102"/>
        <v>0</v>
      </c>
      <c r="FZ151" s="3">
        <f t="shared" si="102"/>
        <v>0</v>
      </c>
      <c r="GA151" s="3">
        <f t="shared" si="102"/>
        <v>0</v>
      </c>
      <c r="GB151" s="3">
        <f t="shared" si="102"/>
        <v>0</v>
      </c>
      <c r="GC151" s="3">
        <f t="shared" si="102"/>
        <v>0</v>
      </c>
      <c r="GD151" s="3">
        <f t="shared" si="102"/>
        <v>0</v>
      </c>
      <c r="GE151" s="3">
        <f t="shared" si="102"/>
        <v>0</v>
      </c>
      <c r="GF151" s="3">
        <f t="shared" si="102"/>
        <v>0</v>
      </c>
      <c r="GG151" s="3">
        <f t="shared" si="102"/>
        <v>0</v>
      </c>
      <c r="GH151" s="3">
        <f t="shared" si="102"/>
        <v>0</v>
      </c>
      <c r="GI151" s="3">
        <f t="shared" si="102"/>
        <v>0</v>
      </c>
      <c r="GJ151" s="3">
        <f t="shared" si="102"/>
        <v>0</v>
      </c>
      <c r="GK151" s="3">
        <f t="shared" si="102"/>
        <v>0</v>
      </c>
      <c r="GL151" s="3">
        <f t="shared" si="102"/>
        <v>0</v>
      </c>
      <c r="GM151" s="3">
        <f t="shared" si="102"/>
        <v>0</v>
      </c>
      <c r="GN151" s="3">
        <f t="shared" si="102"/>
        <v>0</v>
      </c>
      <c r="GO151" s="3">
        <f t="shared" si="102"/>
        <v>0</v>
      </c>
      <c r="GP151" s="3">
        <f t="shared" si="102"/>
        <v>0</v>
      </c>
      <c r="GQ151" s="3">
        <f t="shared" si="102"/>
        <v>0</v>
      </c>
      <c r="GR151" s="3">
        <f t="shared" si="102"/>
        <v>0</v>
      </c>
      <c r="GS151" s="3">
        <f t="shared" si="102"/>
        <v>0</v>
      </c>
      <c r="GT151" s="3">
        <f t="shared" si="102"/>
        <v>0</v>
      </c>
      <c r="GU151" s="3">
        <f t="shared" si="102"/>
        <v>0</v>
      </c>
      <c r="GV151" s="3">
        <f t="shared" si="102"/>
        <v>0</v>
      </c>
      <c r="GW151" s="3">
        <f t="shared" si="102"/>
        <v>0</v>
      </c>
      <c r="GX151" s="3">
        <f t="shared" si="102"/>
        <v>0</v>
      </c>
    </row>
    <row r="153" spans="1:245" x14ac:dyDescent="0.2">
      <c r="A153">
        <v>17</v>
      </c>
      <c r="B153">
        <v>1</v>
      </c>
      <c r="C153">
        <f>ROW(SmtRes!A132)</f>
        <v>132</v>
      </c>
      <c r="D153">
        <f>ROW(EtalonRes!A132)</f>
        <v>132</v>
      </c>
      <c r="E153" t="s">
        <v>182</v>
      </c>
      <c r="F153" t="s">
        <v>183</v>
      </c>
      <c r="G153" t="s">
        <v>184</v>
      </c>
      <c r="H153" t="s">
        <v>126</v>
      </c>
      <c r="I153">
        <v>20</v>
      </c>
      <c r="J153">
        <v>0</v>
      </c>
      <c r="K153">
        <v>20</v>
      </c>
      <c r="O153">
        <f>ROUND(CP153,2)</f>
        <v>16788.54</v>
      </c>
      <c r="P153">
        <f>SUMIF(SmtRes!AQ132:'SmtRes'!AQ132,"=1",SmtRes!DF132:'SmtRes'!DF132)</f>
        <v>0</v>
      </c>
      <c r="Q153">
        <f>SUMIF(SmtRes!AQ132:'SmtRes'!AQ132,"=1",SmtRes!DG132:'SmtRes'!DG132)</f>
        <v>0</v>
      </c>
      <c r="R153">
        <f>SUMIF(SmtRes!AQ132:'SmtRes'!AQ132,"=1",SmtRes!DH132:'SmtRes'!DH132)</f>
        <v>0</v>
      </c>
      <c r="S153">
        <f>SUMIF(SmtRes!AQ132:'SmtRes'!AQ132,"=1",SmtRes!DI132:'SmtRes'!DI132)</f>
        <v>16788.54</v>
      </c>
      <c r="T153">
        <f>ROUND(CU153*I153,2)</f>
        <v>0</v>
      </c>
      <c r="U153">
        <f>SUMIF(SmtRes!AQ132:'SmtRes'!AQ132,"=1",SmtRes!CV132:'SmtRes'!CV132)</f>
        <v>43.8</v>
      </c>
      <c r="V153">
        <f>SUMIF(SmtRes!AQ132:'SmtRes'!AQ132,"=1",SmtRes!CW132:'SmtRes'!CW132)</f>
        <v>0</v>
      </c>
      <c r="W153">
        <f>ROUND(CX153*I153,2)</f>
        <v>0</v>
      </c>
      <c r="X153">
        <f>ROUND(CY153,2)</f>
        <v>17124.310000000001</v>
      </c>
      <c r="Y153">
        <f>ROUND(CZ153,2)</f>
        <v>9065.81</v>
      </c>
      <c r="AA153">
        <v>61635504</v>
      </c>
      <c r="AB153">
        <f>ROUND((AC153+AD153+AF153),6)</f>
        <v>839.42700000000002</v>
      </c>
      <c r="AC153">
        <f>ROUND((0),6)</f>
        <v>0</v>
      </c>
      <c r="AD153">
        <f>ROUND((((0)-(0))+AE153),6)</f>
        <v>0</v>
      </c>
      <c r="AE153">
        <f>ROUND((0),6)</f>
        <v>0</v>
      </c>
      <c r="AF153">
        <f>ROUND((SUM(SmtRes!BT132:'SmtRes'!BT132)),6)</f>
        <v>839.42700000000002</v>
      </c>
      <c r="AG153">
        <f>ROUND((AP153),6)</f>
        <v>0</v>
      </c>
      <c r="AH153">
        <f>(SUM(SmtRes!BU132:'SmtRes'!BU132))</f>
        <v>2.19</v>
      </c>
      <c r="AI153">
        <f>(0)</f>
        <v>0</v>
      </c>
      <c r="AJ153">
        <f>(AS153)</f>
        <v>0</v>
      </c>
      <c r="AK153">
        <v>839.42700000000002</v>
      </c>
      <c r="AL153">
        <v>0</v>
      </c>
      <c r="AM153">
        <v>0</v>
      </c>
      <c r="AN153">
        <v>0</v>
      </c>
      <c r="AO153">
        <v>839.42700000000002</v>
      </c>
      <c r="AP153">
        <v>0</v>
      </c>
      <c r="AQ153">
        <v>2.19</v>
      </c>
      <c r="AR153">
        <v>0</v>
      </c>
      <c r="AS153">
        <v>0</v>
      </c>
      <c r="AT153">
        <v>102</v>
      </c>
      <c r="AU153">
        <v>54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1</v>
      </c>
      <c r="BJ153" t="s">
        <v>185</v>
      </c>
      <c r="BM153">
        <v>68001</v>
      </c>
      <c r="BN153">
        <v>0</v>
      </c>
      <c r="BO153" t="s">
        <v>3</v>
      </c>
      <c r="BP153">
        <v>0</v>
      </c>
      <c r="BQ153">
        <v>6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102</v>
      </c>
      <c r="CA153">
        <v>54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>(P153+Q153+S153+R153)</f>
        <v>16788.54</v>
      </c>
      <c r="CQ153">
        <f>SUMIF(SmtRes!AQ132:'SmtRes'!AQ132,"=1",SmtRes!AA132:'SmtRes'!AA132)</f>
        <v>0</v>
      </c>
      <c r="CR153">
        <f>SUMIF(SmtRes!AQ132:'SmtRes'!AQ132,"=1",SmtRes!AB132:'SmtRes'!AB132)</f>
        <v>0</v>
      </c>
      <c r="CS153">
        <f>SUMIF(SmtRes!AQ132:'SmtRes'!AQ132,"=1",SmtRes!AC132:'SmtRes'!AC132)</f>
        <v>0</v>
      </c>
      <c r="CT153">
        <f>SUMIF(SmtRes!AQ132:'SmtRes'!AQ132,"=1",SmtRes!AD132:'SmtRes'!AD132)</f>
        <v>383.3</v>
      </c>
      <c r="CU153">
        <f>AG153</f>
        <v>0</v>
      </c>
      <c r="CV153">
        <f>SUMIF(SmtRes!AQ132:'SmtRes'!AQ132,"=1",SmtRes!BU132:'SmtRes'!BU132)</f>
        <v>2.19</v>
      </c>
      <c r="CW153">
        <f>SUMIF(SmtRes!AQ132:'SmtRes'!AQ132,"=1",SmtRes!BV132:'SmtRes'!BV132)</f>
        <v>0</v>
      </c>
      <c r="CX153">
        <f>AJ153</f>
        <v>0</v>
      </c>
      <c r="CY153">
        <f>(((S153+R153)*AT153)/100)</f>
        <v>17124.310799999999</v>
      </c>
      <c r="CZ153">
        <f>(((S153+R153)*AU153)/100)</f>
        <v>9065.8116000000009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1013</v>
      </c>
      <c r="DV153" t="s">
        <v>126</v>
      </c>
      <c r="DW153" t="s">
        <v>126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60393438</v>
      </c>
      <c r="EF153">
        <v>6</v>
      </c>
      <c r="EG153" t="s">
        <v>186</v>
      </c>
      <c r="EH153">
        <v>102</v>
      </c>
      <c r="EI153" t="s">
        <v>187</v>
      </c>
      <c r="EJ153">
        <v>1</v>
      </c>
      <c r="EK153">
        <v>68001</v>
      </c>
      <c r="EL153" t="s">
        <v>187</v>
      </c>
      <c r="EM153" t="s">
        <v>188</v>
      </c>
      <c r="EO153" t="s">
        <v>3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2.19</v>
      </c>
      <c r="EX153">
        <v>0</v>
      </c>
      <c r="EY153">
        <v>0</v>
      </c>
      <c r="FQ153">
        <v>0</v>
      </c>
      <c r="FR153">
        <f>ROUND(IF(BI153=3,GM153,0),2)</f>
        <v>0</v>
      </c>
      <c r="FS153">
        <v>0</v>
      </c>
      <c r="FX153">
        <v>102</v>
      </c>
      <c r="FY153">
        <v>54</v>
      </c>
      <c r="GA153" t="s">
        <v>3</v>
      </c>
      <c r="GD153">
        <v>1</v>
      </c>
      <c r="GF153">
        <v>982436305</v>
      </c>
      <c r="GG153">
        <v>2</v>
      </c>
      <c r="GH153">
        <v>1</v>
      </c>
      <c r="GI153">
        <v>-2</v>
      </c>
      <c r="GJ153">
        <v>0</v>
      </c>
      <c r="GK153">
        <v>0</v>
      </c>
      <c r="GL153">
        <f>ROUND(IF(AND(BH153=3,BI153=3,FS153&lt;&gt;0),P153,0),2)</f>
        <v>0</v>
      </c>
      <c r="GM153">
        <f>ROUND(O153+X153+Y153,2)+GX153</f>
        <v>42978.66</v>
      </c>
      <c r="GN153">
        <f>IF(OR(BI153=0,BI153=1),GM153-GX153,0)</f>
        <v>42978.66</v>
      </c>
      <c r="GO153">
        <f>IF(BI153=2,GM153-GX153,0)</f>
        <v>0</v>
      </c>
      <c r="GP153">
        <f>IF(BI153=4,GM153-GX153,0)</f>
        <v>0</v>
      </c>
      <c r="GR153">
        <v>0</v>
      </c>
      <c r="GS153">
        <v>3</v>
      </c>
      <c r="GT153">
        <v>0</v>
      </c>
      <c r="GU153" t="s">
        <v>3</v>
      </c>
      <c r="GV153">
        <f>ROUND((GT153),6)</f>
        <v>0</v>
      </c>
      <c r="GW153">
        <v>1</v>
      </c>
      <c r="GX153">
        <f>ROUND(HC153*I153,2)</f>
        <v>0</v>
      </c>
      <c r="HA153">
        <v>0</v>
      </c>
      <c r="HB153">
        <v>0</v>
      </c>
      <c r="HC153">
        <f>GV153*GW153</f>
        <v>0</v>
      </c>
      <c r="HE153" t="s">
        <v>3</v>
      </c>
      <c r="HF153" t="s">
        <v>3</v>
      </c>
      <c r="HM153" t="s">
        <v>3</v>
      </c>
      <c r="HN153" t="s">
        <v>189</v>
      </c>
      <c r="HO153" t="s">
        <v>190</v>
      </c>
      <c r="HP153" t="s">
        <v>187</v>
      </c>
      <c r="HQ153" t="s">
        <v>187</v>
      </c>
      <c r="IK153">
        <v>0</v>
      </c>
    </row>
    <row r="154" spans="1:245" x14ac:dyDescent="0.2">
      <c r="A154">
        <v>17</v>
      </c>
      <c r="B154">
        <v>1</v>
      </c>
      <c r="E154" t="s">
        <v>191</v>
      </c>
      <c r="F154" t="s">
        <v>192</v>
      </c>
      <c r="G154" t="s">
        <v>193</v>
      </c>
      <c r="H154" t="s">
        <v>194</v>
      </c>
      <c r="I154">
        <v>32</v>
      </c>
      <c r="J154">
        <v>0</v>
      </c>
      <c r="K154">
        <v>32</v>
      </c>
      <c r="O154">
        <f>ROUND(CP154,2)</f>
        <v>6537.28</v>
      </c>
      <c r="P154">
        <f>ROUND(CQ154*I154,2)</f>
        <v>0</v>
      </c>
      <c r="Q154">
        <f>ROUND(CR154*I154,2)</f>
        <v>6537.28</v>
      </c>
      <c r="R154">
        <f>ROUND(CS154*I154,2)</f>
        <v>0</v>
      </c>
      <c r="S154">
        <f>ROUND(CT154*I154,2)</f>
        <v>0</v>
      </c>
      <c r="T154">
        <f>ROUND(CU154*I154,2)</f>
        <v>0</v>
      </c>
      <c r="U154">
        <f>ROUND(CV154*I154,7)</f>
        <v>0</v>
      </c>
      <c r="V154">
        <f>ROUND(CW154*I154,7)</f>
        <v>0</v>
      </c>
      <c r="W154">
        <f>ROUND(CX154*I154,2)</f>
        <v>0</v>
      </c>
      <c r="X154">
        <f>ROUND(CY154,2)</f>
        <v>0</v>
      </c>
      <c r="Y154">
        <f>ROUND(CZ154,2)</f>
        <v>0</v>
      </c>
      <c r="AA154">
        <v>61635504</v>
      </c>
      <c r="AB154">
        <f>ROUND((AC154+AD154+AF154),6)</f>
        <v>166.09</v>
      </c>
      <c r="AC154">
        <f>ROUND((ES154),6)</f>
        <v>0</v>
      </c>
      <c r="AD154">
        <f>ROUND((((ET154)-(EU154))+AE154),6)</f>
        <v>166.09</v>
      </c>
      <c r="AE154">
        <f>ROUND((EU154),6)</f>
        <v>0</v>
      </c>
      <c r="AF154">
        <f>ROUND((EV154),6)</f>
        <v>0</v>
      </c>
      <c r="AG154">
        <f>ROUND((AP154),6)</f>
        <v>0</v>
      </c>
      <c r="AH154">
        <f>(EW154)</f>
        <v>0</v>
      </c>
      <c r="AI154">
        <f>(EX154)</f>
        <v>0</v>
      </c>
      <c r="AJ154">
        <f>(AS154)</f>
        <v>0</v>
      </c>
      <c r="AK154">
        <v>166.09</v>
      </c>
      <c r="AL154">
        <v>0</v>
      </c>
      <c r="AM154">
        <v>166.09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1</v>
      </c>
      <c r="AW154">
        <v>1</v>
      </c>
      <c r="AZ154">
        <v>1</v>
      </c>
      <c r="BA154">
        <v>1</v>
      </c>
      <c r="BB154">
        <v>1.23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2</v>
      </c>
      <c r="BI154">
        <v>1</v>
      </c>
      <c r="BJ154" t="s">
        <v>195</v>
      </c>
      <c r="BM154">
        <v>400001</v>
      </c>
      <c r="BN154">
        <v>0</v>
      </c>
      <c r="BO154" t="s">
        <v>192</v>
      </c>
      <c r="BP154">
        <v>1</v>
      </c>
      <c r="BQ154">
        <v>7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0</v>
      </c>
      <c r="CA154">
        <v>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>(P154+Q154+S154+R154)</f>
        <v>6537.28</v>
      </c>
      <c r="CQ154">
        <f>ROUND(AL154*BC154,2)</f>
        <v>0</v>
      </c>
      <c r="CR154">
        <f>ROUND(AM154*BB154,2)</f>
        <v>204.29</v>
      </c>
      <c r="CS154">
        <f>ROUND(AN154*BS154,2)</f>
        <v>0</v>
      </c>
      <c r="CT154">
        <f>ROUND(AO154*BA154,2)</f>
        <v>0</v>
      </c>
      <c r="CU154">
        <f>AG154</f>
        <v>0</v>
      </c>
      <c r="CV154">
        <f>AH154</f>
        <v>0</v>
      </c>
      <c r="CW154">
        <f>AI154</f>
        <v>0</v>
      </c>
      <c r="CX154">
        <f>AJ154</f>
        <v>0</v>
      </c>
      <c r="CY154">
        <f>(((S154+R154)*AT154)/100)</f>
        <v>0</v>
      </c>
      <c r="CZ154">
        <f>(((S154+R154)*AU154)/100)</f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1011</v>
      </c>
      <c r="DV154" t="s">
        <v>194</v>
      </c>
      <c r="DW154" t="s">
        <v>194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60393245</v>
      </c>
      <c r="EF154">
        <v>7</v>
      </c>
      <c r="EG154" t="s">
        <v>196</v>
      </c>
      <c r="EH154">
        <v>0</v>
      </c>
      <c r="EI154" t="s">
        <v>3</v>
      </c>
      <c r="EJ154">
        <v>1</v>
      </c>
      <c r="EK154">
        <v>400001</v>
      </c>
      <c r="EL154" t="s">
        <v>197</v>
      </c>
      <c r="EM154" t="s">
        <v>72</v>
      </c>
      <c r="EO154" t="s">
        <v>3</v>
      </c>
      <c r="EQ154">
        <v>0</v>
      </c>
      <c r="ER154">
        <v>166.09</v>
      </c>
      <c r="ES154">
        <v>0</v>
      </c>
      <c r="ET154">
        <v>166.09</v>
      </c>
      <c r="EU154">
        <v>0</v>
      </c>
      <c r="EV154">
        <v>0</v>
      </c>
      <c r="EW154">
        <v>0</v>
      </c>
      <c r="EX154">
        <v>0</v>
      </c>
      <c r="EY154">
        <v>0</v>
      </c>
      <c r="FQ154">
        <v>0</v>
      </c>
      <c r="FR154">
        <f>ROUND(IF(BI154=3,GM154,0),2)</f>
        <v>0</v>
      </c>
      <c r="FS154">
        <v>1</v>
      </c>
      <c r="FX154">
        <v>0</v>
      </c>
      <c r="FY154">
        <v>0</v>
      </c>
      <c r="GA154" t="s">
        <v>3</v>
      </c>
      <c r="GD154">
        <v>1</v>
      </c>
      <c r="GF154">
        <v>990448488</v>
      </c>
      <c r="GG154">
        <v>2</v>
      </c>
      <c r="GH154">
        <v>1</v>
      </c>
      <c r="GI154">
        <v>2</v>
      </c>
      <c r="GJ154">
        <v>0</v>
      </c>
      <c r="GK154">
        <v>0</v>
      </c>
      <c r="GL154">
        <f>ROUND(IF(AND(BH154=3,BI154=3,FS154&lt;&gt;0),P154,0),2)</f>
        <v>0</v>
      </c>
      <c r="GM154">
        <f>ROUND(O154+X154+Y154,2)+GX154</f>
        <v>6537.28</v>
      </c>
      <c r="GN154">
        <f>IF(OR(BI154=0,BI154=1),GM154-GX154,0)</f>
        <v>6537.28</v>
      </c>
      <c r="GO154">
        <f>IF(BI154=2,GM154-GX154,0)</f>
        <v>0</v>
      </c>
      <c r="GP154">
        <f>IF(BI154=4,GM154-GX154,0)</f>
        <v>0</v>
      </c>
      <c r="GR154">
        <v>0</v>
      </c>
      <c r="GS154">
        <v>3</v>
      </c>
      <c r="GT154">
        <v>0</v>
      </c>
      <c r="GU154" t="s">
        <v>3</v>
      </c>
      <c r="GV154">
        <f>ROUND((GT154),6)</f>
        <v>0</v>
      </c>
      <c r="GW154">
        <v>1</v>
      </c>
      <c r="GX154">
        <f>ROUND(HC154*I154,2)</f>
        <v>0</v>
      </c>
      <c r="HA154">
        <v>0</v>
      </c>
      <c r="HB154">
        <v>0</v>
      </c>
      <c r="HC154">
        <f>GV154*GW154</f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E155" t="s">
        <v>198</v>
      </c>
      <c r="F155" t="s">
        <v>199</v>
      </c>
      <c r="G155" t="s">
        <v>200</v>
      </c>
      <c r="H155" t="s">
        <v>201</v>
      </c>
      <c r="I155">
        <v>10</v>
      </c>
      <c r="J155">
        <v>0</v>
      </c>
      <c r="K155">
        <v>10</v>
      </c>
      <c r="O155">
        <f>0</f>
        <v>0</v>
      </c>
      <c r="P155">
        <f>0</f>
        <v>0</v>
      </c>
      <c r="Q155">
        <f>0</f>
        <v>0</v>
      </c>
      <c r="R155">
        <f>0</f>
        <v>0</v>
      </c>
      <c r="S155">
        <f>0</f>
        <v>0</v>
      </c>
      <c r="T155">
        <f>0</f>
        <v>0</v>
      </c>
      <c r="U155">
        <f>0</f>
        <v>0</v>
      </c>
      <c r="V155">
        <f>0</f>
        <v>0</v>
      </c>
      <c r="W155">
        <f>0</f>
        <v>0</v>
      </c>
      <c r="X155">
        <f>0</f>
        <v>0</v>
      </c>
      <c r="Y155">
        <f>0</f>
        <v>0</v>
      </c>
      <c r="AA155">
        <v>61635504</v>
      </c>
      <c r="AB155">
        <f>ROUND((AK155),6)</f>
        <v>387.95</v>
      </c>
      <c r="AC155">
        <f>0</f>
        <v>0</v>
      </c>
      <c r="AD155">
        <f>0</f>
        <v>0</v>
      </c>
      <c r="AE155">
        <f>0</f>
        <v>0</v>
      </c>
      <c r="AF155">
        <f>0</f>
        <v>0</v>
      </c>
      <c r="AG155">
        <f>0</f>
        <v>0</v>
      </c>
      <c r="AH155">
        <f>0</f>
        <v>0</v>
      </c>
      <c r="AI155">
        <f>0</f>
        <v>0</v>
      </c>
      <c r="AJ155">
        <f>0</f>
        <v>0</v>
      </c>
      <c r="AK155">
        <v>387.95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1</v>
      </c>
      <c r="BJ155" t="s">
        <v>199</v>
      </c>
      <c r="BM155">
        <v>700007</v>
      </c>
      <c r="BN155">
        <v>0</v>
      </c>
      <c r="BO155" t="s">
        <v>3</v>
      </c>
      <c r="BP155">
        <v>0</v>
      </c>
      <c r="BQ155">
        <v>19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94</v>
      </c>
      <c r="CA155">
        <v>42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>AB155*AZ155</f>
        <v>387.95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1013</v>
      </c>
      <c r="DV155" t="s">
        <v>201</v>
      </c>
      <c r="DW155" t="s">
        <v>201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60393752</v>
      </c>
      <c r="EF155">
        <v>19</v>
      </c>
      <c r="EG155" t="s">
        <v>202</v>
      </c>
      <c r="EH155">
        <v>106</v>
      </c>
      <c r="EI155" t="s">
        <v>202</v>
      </c>
      <c r="EJ155">
        <v>1</v>
      </c>
      <c r="EK155">
        <v>700007</v>
      </c>
      <c r="EL155" t="s">
        <v>202</v>
      </c>
      <c r="EM155" t="s">
        <v>203</v>
      </c>
      <c r="EO155" t="s">
        <v>3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FQ155">
        <v>0</v>
      </c>
      <c r="FR155">
        <f>ROUND(IF(BI155=3,GM155,0),2)</f>
        <v>0</v>
      </c>
      <c r="FS155">
        <v>0</v>
      </c>
      <c r="FX155">
        <v>0</v>
      </c>
      <c r="FY155">
        <v>0</v>
      </c>
      <c r="GA155" t="s">
        <v>3</v>
      </c>
      <c r="GD155">
        <v>1</v>
      </c>
      <c r="GF155">
        <v>1173796760</v>
      </c>
      <c r="GG155">
        <v>2</v>
      </c>
      <c r="GH155">
        <v>1</v>
      </c>
      <c r="GI155">
        <v>-2</v>
      </c>
      <c r="GJ155">
        <v>2</v>
      </c>
      <c r="GK155">
        <v>0</v>
      </c>
      <c r="GL155">
        <f>ROUND(IF(AND(BH155=3,BI155=3,FS155&lt;&gt;0),P155,0),2)</f>
        <v>0</v>
      </c>
      <c r="GM155">
        <f>ROUND(CP155*I155,2)</f>
        <v>3879.5</v>
      </c>
      <c r="GN155">
        <f>IF(OR(BI155=0,BI155=1),GM155-GX155,0)</f>
        <v>3879.5</v>
      </c>
      <c r="GO155">
        <f>IF(BI155=2,GM155-GX155,0)</f>
        <v>0</v>
      </c>
      <c r="GP155">
        <f>IF(BI155=4,GM155-GX155,0)</f>
        <v>0</v>
      </c>
      <c r="GR155">
        <v>0</v>
      </c>
      <c r="GS155">
        <v>3</v>
      </c>
      <c r="GT155">
        <v>0</v>
      </c>
      <c r="GU155" t="s">
        <v>3</v>
      </c>
      <c r="GV155">
        <f>0</f>
        <v>0</v>
      </c>
      <c r="GW155">
        <v>1</v>
      </c>
      <c r="GX155">
        <f>0</f>
        <v>0</v>
      </c>
      <c r="HA155">
        <v>0</v>
      </c>
      <c r="HB155">
        <v>0</v>
      </c>
      <c r="HC155">
        <v>0</v>
      </c>
      <c r="HD155">
        <f>GM155</f>
        <v>3879.5</v>
      </c>
      <c r="HE155" t="s">
        <v>3</v>
      </c>
      <c r="HF155" t="s">
        <v>3</v>
      </c>
      <c r="HM155" t="s">
        <v>3</v>
      </c>
      <c r="HN155" t="s">
        <v>204</v>
      </c>
      <c r="HO155" t="s">
        <v>205</v>
      </c>
      <c r="HP155" t="s">
        <v>202</v>
      </c>
      <c r="HQ155" t="s">
        <v>202</v>
      </c>
      <c r="IK155">
        <v>0</v>
      </c>
    </row>
    <row r="156" spans="1:245" x14ac:dyDescent="0.2">
      <c r="A156">
        <v>17</v>
      </c>
      <c r="B156">
        <v>1</v>
      </c>
      <c r="E156" t="s">
        <v>206</v>
      </c>
      <c r="F156" t="s">
        <v>207</v>
      </c>
      <c r="G156" t="s">
        <v>208</v>
      </c>
      <c r="H156" t="s">
        <v>201</v>
      </c>
      <c r="I156">
        <v>10</v>
      </c>
      <c r="J156">
        <v>0</v>
      </c>
      <c r="K156">
        <v>10</v>
      </c>
      <c r="O156">
        <f>0</f>
        <v>0</v>
      </c>
      <c r="P156">
        <f>0</f>
        <v>0</v>
      </c>
      <c r="Q156">
        <f>0</f>
        <v>0</v>
      </c>
      <c r="R156">
        <f>0</f>
        <v>0</v>
      </c>
      <c r="S156">
        <f>0</f>
        <v>0</v>
      </c>
      <c r="T156">
        <f>0</f>
        <v>0</v>
      </c>
      <c r="U156">
        <f>0</f>
        <v>0</v>
      </c>
      <c r="V156">
        <f>0</f>
        <v>0</v>
      </c>
      <c r="W156">
        <f>0</f>
        <v>0</v>
      </c>
      <c r="X156">
        <f>0</f>
        <v>0</v>
      </c>
      <c r="Y156">
        <f>0</f>
        <v>0</v>
      </c>
      <c r="AA156">
        <v>61635504</v>
      </c>
      <c r="AB156">
        <f>ROUND((AK156),6)</f>
        <v>387.95</v>
      </c>
      <c r="AC156">
        <f>0</f>
        <v>0</v>
      </c>
      <c r="AD156">
        <f>0</f>
        <v>0</v>
      </c>
      <c r="AE156">
        <f>0</f>
        <v>0</v>
      </c>
      <c r="AF156">
        <f>0</f>
        <v>0</v>
      </c>
      <c r="AG156">
        <f>0</f>
        <v>0</v>
      </c>
      <c r="AH156">
        <f>0</f>
        <v>0</v>
      </c>
      <c r="AI156">
        <f>0</f>
        <v>0</v>
      </c>
      <c r="AJ156">
        <f>0</f>
        <v>0</v>
      </c>
      <c r="AK156">
        <v>387.95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1</v>
      </c>
      <c r="BJ156" t="s">
        <v>207</v>
      </c>
      <c r="BM156">
        <v>700007</v>
      </c>
      <c r="BN156">
        <v>0</v>
      </c>
      <c r="BO156" t="s">
        <v>3</v>
      </c>
      <c r="BP156">
        <v>0</v>
      </c>
      <c r="BQ156">
        <v>19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94</v>
      </c>
      <c r="CA156">
        <v>42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>AB156*AZ156</f>
        <v>387.95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1013</v>
      </c>
      <c r="DV156" t="s">
        <v>201</v>
      </c>
      <c r="DW156" t="s">
        <v>201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60393752</v>
      </c>
      <c r="EF156">
        <v>19</v>
      </c>
      <c r="EG156" t="s">
        <v>202</v>
      </c>
      <c r="EH156">
        <v>106</v>
      </c>
      <c r="EI156" t="s">
        <v>202</v>
      </c>
      <c r="EJ156">
        <v>1</v>
      </c>
      <c r="EK156">
        <v>700007</v>
      </c>
      <c r="EL156" t="s">
        <v>202</v>
      </c>
      <c r="EM156" t="s">
        <v>203</v>
      </c>
      <c r="EO156" t="s">
        <v>3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>ROUND(IF(BI156=3,GM156,0),2)</f>
        <v>0</v>
      </c>
      <c r="FS156">
        <v>0</v>
      </c>
      <c r="FX156">
        <v>0</v>
      </c>
      <c r="FY156">
        <v>0</v>
      </c>
      <c r="GA156" t="s">
        <v>3</v>
      </c>
      <c r="GD156">
        <v>1</v>
      </c>
      <c r="GF156">
        <v>-1407152666</v>
      </c>
      <c r="GG156">
        <v>2</v>
      </c>
      <c r="GH156">
        <v>1</v>
      </c>
      <c r="GI156">
        <v>-2</v>
      </c>
      <c r="GJ156">
        <v>2</v>
      </c>
      <c r="GK156">
        <v>0</v>
      </c>
      <c r="GL156">
        <f>ROUND(IF(AND(BH156=3,BI156=3,FS156&lt;&gt;0),P156,0),2)</f>
        <v>0</v>
      </c>
      <c r="GM156">
        <f>ROUND(CP156*I156,2)</f>
        <v>3879.5</v>
      </c>
      <c r="GN156">
        <f>IF(OR(BI156=0,BI156=1),GM156-GX156,0)</f>
        <v>3879.5</v>
      </c>
      <c r="GO156">
        <f>IF(BI156=2,GM156-GX156,0)</f>
        <v>0</v>
      </c>
      <c r="GP156">
        <f>IF(BI156=4,GM156-GX156,0)</f>
        <v>0</v>
      </c>
      <c r="GR156">
        <v>0</v>
      </c>
      <c r="GS156">
        <v>3</v>
      </c>
      <c r="GT156">
        <v>0</v>
      </c>
      <c r="GU156" t="s">
        <v>3</v>
      </c>
      <c r="GV156">
        <f>0</f>
        <v>0</v>
      </c>
      <c r="GW156">
        <v>1</v>
      </c>
      <c r="GX156">
        <f>0</f>
        <v>0</v>
      </c>
      <c r="HA156">
        <v>0</v>
      </c>
      <c r="HB156">
        <v>0</v>
      </c>
      <c r="HC156">
        <v>0</v>
      </c>
      <c r="HD156">
        <f>GM156</f>
        <v>3879.5</v>
      </c>
      <c r="HE156" t="s">
        <v>3</v>
      </c>
      <c r="HF156" t="s">
        <v>3</v>
      </c>
      <c r="HM156" t="s">
        <v>3</v>
      </c>
      <c r="HN156" t="s">
        <v>204</v>
      </c>
      <c r="HO156" t="s">
        <v>205</v>
      </c>
      <c r="HP156" t="s">
        <v>202</v>
      </c>
      <c r="HQ156" t="s">
        <v>202</v>
      </c>
      <c r="IK156">
        <v>0</v>
      </c>
    </row>
    <row r="157" spans="1:245" x14ac:dyDescent="0.2">
      <c r="A157">
        <v>17</v>
      </c>
      <c r="B157">
        <v>1</v>
      </c>
      <c r="E157" t="s">
        <v>209</v>
      </c>
      <c r="F157" t="s">
        <v>210</v>
      </c>
      <c r="G157" t="s">
        <v>211</v>
      </c>
      <c r="H157" t="s">
        <v>201</v>
      </c>
      <c r="I157">
        <v>10</v>
      </c>
      <c r="J157">
        <v>0</v>
      </c>
      <c r="K157">
        <v>10</v>
      </c>
      <c r="O157">
        <f>0</f>
        <v>0</v>
      </c>
      <c r="P157">
        <f>0</f>
        <v>0</v>
      </c>
      <c r="Q157">
        <f>0</f>
        <v>0</v>
      </c>
      <c r="R157">
        <f>0</f>
        <v>0</v>
      </c>
      <c r="S157">
        <f>0</f>
        <v>0</v>
      </c>
      <c r="T157">
        <f>0</f>
        <v>0</v>
      </c>
      <c r="U157">
        <f>0</f>
        <v>0</v>
      </c>
      <c r="V157">
        <f>0</f>
        <v>0</v>
      </c>
      <c r="W157">
        <f>0</f>
        <v>0</v>
      </c>
      <c r="X157">
        <f>0</f>
        <v>0</v>
      </c>
      <c r="Y157">
        <f>0</f>
        <v>0</v>
      </c>
      <c r="AA157">
        <v>61635504</v>
      </c>
      <c r="AB157">
        <f>ROUND((AK157),6)</f>
        <v>417.23</v>
      </c>
      <c r="AC157">
        <f>0</f>
        <v>0</v>
      </c>
      <c r="AD157">
        <f>0</f>
        <v>0</v>
      </c>
      <c r="AE157">
        <f>0</f>
        <v>0</v>
      </c>
      <c r="AF157">
        <f>0</f>
        <v>0</v>
      </c>
      <c r="AG157">
        <f>0</f>
        <v>0</v>
      </c>
      <c r="AH157">
        <f>0</f>
        <v>0</v>
      </c>
      <c r="AI157">
        <f>0</f>
        <v>0</v>
      </c>
      <c r="AJ157">
        <f>0</f>
        <v>0</v>
      </c>
      <c r="AK157">
        <v>417.23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1</v>
      </c>
      <c r="BJ157" t="s">
        <v>210</v>
      </c>
      <c r="BM157">
        <v>700008</v>
      </c>
      <c r="BN157">
        <v>0</v>
      </c>
      <c r="BO157" t="s">
        <v>3</v>
      </c>
      <c r="BP157">
        <v>0</v>
      </c>
      <c r="BQ157">
        <v>10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94</v>
      </c>
      <c r="CA157">
        <v>61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>AB157*AZ157</f>
        <v>417.23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201</v>
      </c>
      <c r="DW157" t="s">
        <v>201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60393753</v>
      </c>
      <c r="EF157">
        <v>10</v>
      </c>
      <c r="EG157" t="s">
        <v>212</v>
      </c>
      <c r="EH157">
        <v>107</v>
      </c>
      <c r="EI157" t="s">
        <v>213</v>
      </c>
      <c r="EJ157">
        <v>1</v>
      </c>
      <c r="EK157">
        <v>700008</v>
      </c>
      <c r="EL157" t="s">
        <v>214</v>
      </c>
      <c r="EM157" t="s">
        <v>215</v>
      </c>
      <c r="EO157" t="s">
        <v>3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>ROUND(IF(BI157=3,GM157,0),2)</f>
        <v>0</v>
      </c>
      <c r="FS157">
        <v>0</v>
      </c>
      <c r="FX157">
        <v>0</v>
      </c>
      <c r="FY157">
        <v>0</v>
      </c>
      <c r="GA157" t="s">
        <v>3</v>
      </c>
      <c r="GD157">
        <v>1</v>
      </c>
      <c r="GF157">
        <v>1742810988</v>
      </c>
      <c r="GG157">
        <v>2</v>
      </c>
      <c r="GH157">
        <v>1</v>
      </c>
      <c r="GI157">
        <v>-2</v>
      </c>
      <c r="GJ157">
        <v>2</v>
      </c>
      <c r="GK157">
        <v>0</v>
      </c>
      <c r="GL157">
        <f>ROUND(IF(AND(BH157=3,BI157=3,FS157&lt;&gt;0),P157,0),2)</f>
        <v>0</v>
      </c>
      <c r="GM157">
        <f>ROUND(CP157*I157,2)</f>
        <v>4172.3</v>
      </c>
      <c r="GN157">
        <f>IF(OR(BI157=0,BI157=1),GM157-GX157,0)</f>
        <v>4172.3</v>
      </c>
      <c r="GO157">
        <f>IF(BI157=2,GM157-GX157,0)</f>
        <v>0</v>
      </c>
      <c r="GP157">
        <f>IF(BI157=4,GM157-GX157,0)</f>
        <v>0</v>
      </c>
      <c r="GR157">
        <v>0</v>
      </c>
      <c r="GS157">
        <v>3</v>
      </c>
      <c r="GT157">
        <v>0</v>
      </c>
      <c r="GU157" t="s">
        <v>3</v>
      </c>
      <c r="GV157">
        <f>0</f>
        <v>0</v>
      </c>
      <c r="GW157">
        <v>1</v>
      </c>
      <c r="GX157">
        <f>0</f>
        <v>0</v>
      </c>
      <c r="HA157">
        <v>0</v>
      </c>
      <c r="HB157">
        <v>0</v>
      </c>
      <c r="HC157">
        <v>0</v>
      </c>
      <c r="HD157">
        <f>GM157</f>
        <v>4172.3</v>
      </c>
      <c r="HE157" t="s">
        <v>3</v>
      </c>
      <c r="HF157" t="s">
        <v>3</v>
      </c>
      <c r="HM157" t="s">
        <v>3</v>
      </c>
      <c r="HN157" t="s">
        <v>216</v>
      </c>
      <c r="HO157" t="s">
        <v>217</v>
      </c>
      <c r="HP157" t="s">
        <v>213</v>
      </c>
      <c r="HQ157" t="s">
        <v>213</v>
      </c>
      <c r="IK157">
        <v>0</v>
      </c>
    </row>
    <row r="159" spans="1:245" x14ac:dyDescent="0.2">
      <c r="A159" s="2">
        <v>51</v>
      </c>
      <c r="B159" s="2">
        <f>B149</f>
        <v>1</v>
      </c>
      <c r="C159" s="2">
        <f>A149</f>
        <v>4</v>
      </c>
      <c r="D159" s="2">
        <f>ROW(A149)</f>
        <v>149</v>
      </c>
      <c r="E159" s="2"/>
      <c r="F159" s="2" t="str">
        <f>IF(F149&lt;&gt;"",F149,"")</f>
        <v>Новый раздел</v>
      </c>
      <c r="G159" s="2" t="str">
        <f>IF(G149&lt;&gt;"",G149,"")</f>
        <v>Прочие работы</v>
      </c>
      <c r="H159" s="2">
        <v>0</v>
      </c>
      <c r="I159" s="2"/>
      <c r="J159" s="2"/>
      <c r="K159" s="2"/>
      <c r="L159" s="2"/>
      <c r="M159" s="2"/>
      <c r="N159" s="2"/>
      <c r="O159" s="2">
        <f t="shared" ref="O159:T159" si="103">ROUND(AB159,2)</f>
        <v>23325.82</v>
      </c>
      <c r="P159" s="2">
        <f t="shared" si="103"/>
        <v>0</v>
      </c>
      <c r="Q159" s="2">
        <f t="shared" si="103"/>
        <v>6537.28</v>
      </c>
      <c r="R159" s="2">
        <f t="shared" si="103"/>
        <v>0</v>
      </c>
      <c r="S159" s="2">
        <f t="shared" si="103"/>
        <v>16788.54</v>
      </c>
      <c r="T159" s="2">
        <f t="shared" si="103"/>
        <v>0</v>
      </c>
      <c r="U159" s="2">
        <f>AH159</f>
        <v>43.8</v>
      </c>
      <c r="V159" s="2">
        <f>AI159</f>
        <v>0</v>
      </c>
      <c r="W159" s="2">
        <f>ROUND(AJ159,2)</f>
        <v>0</v>
      </c>
      <c r="X159" s="2">
        <f>ROUND(AK159,2)</f>
        <v>17124.310000000001</v>
      </c>
      <c r="Y159" s="2">
        <f>ROUND(AL159,2)</f>
        <v>9065.81</v>
      </c>
      <c r="Z159" s="2"/>
      <c r="AA159" s="2"/>
      <c r="AB159" s="2">
        <f>ROUND(SUMIF(AA153:AA157,"=61635504",O153:O157),2)</f>
        <v>23325.82</v>
      </c>
      <c r="AC159" s="2">
        <f>ROUND(SUMIF(AA153:AA157,"=61635504",P153:P157),2)</f>
        <v>0</v>
      </c>
      <c r="AD159" s="2">
        <f>ROUND(SUMIF(AA153:AA157,"=61635504",Q153:Q157),2)</f>
        <v>6537.28</v>
      </c>
      <c r="AE159" s="2">
        <f>ROUND(SUMIF(AA153:AA157,"=61635504",R153:R157),2)</f>
        <v>0</v>
      </c>
      <c r="AF159" s="2">
        <f>ROUND(SUMIF(AA153:AA157,"=61635504",S153:S157),2)</f>
        <v>16788.54</v>
      </c>
      <c r="AG159" s="2">
        <f>ROUND(SUMIF(AA153:AA157,"=61635504",T153:T157),2)</f>
        <v>0</v>
      </c>
      <c r="AH159" s="2">
        <f>SUMIF(AA153:AA157,"=61635504",U153:U157)</f>
        <v>43.8</v>
      </c>
      <c r="AI159" s="2">
        <f>SUMIF(AA153:AA157,"=61635504",V153:V157)</f>
        <v>0</v>
      </c>
      <c r="AJ159" s="2">
        <f>ROUND(SUMIF(AA153:AA157,"=61635504",W153:W157),2)</f>
        <v>0</v>
      </c>
      <c r="AK159" s="2">
        <f>ROUND(SUMIF(AA153:AA157,"=61635504",X153:X157),2)</f>
        <v>17124.310000000001</v>
      </c>
      <c r="AL159" s="2">
        <f>ROUND(SUMIF(AA153:AA157,"=61635504",Y153:Y157),2)</f>
        <v>9065.81</v>
      </c>
      <c r="AM159" s="2"/>
      <c r="AN159" s="2"/>
      <c r="AO159" s="2">
        <f t="shared" ref="AO159:BD159" si="104">ROUND(BX159,2)</f>
        <v>0</v>
      </c>
      <c r="AP159" s="2">
        <f t="shared" si="104"/>
        <v>0</v>
      </c>
      <c r="AQ159" s="2">
        <f t="shared" si="104"/>
        <v>0</v>
      </c>
      <c r="AR159" s="2">
        <f t="shared" si="104"/>
        <v>61447.24</v>
      </c>
      <c r="AS159" s="2">
        <f t="shared" si="104"/>
        <v>61447.24</v>
      </c>
      <c r="AT159" s="2">
        <f t="shared" si="104"/>
        <v>0</v>
      </c>
      <c r="AU159" s="2">
        <f t="shared" si="104"/>
        <v>0</v>
      </c>
      <c r="AV159" s="2">
        <f t="shared" si="104"/>
        <v>0</v>
      </c>
      <c r="AW159" s="2">
        <f t="shared" si="104"/>
        <v>0</v>
      </c>
      <c r="AX159" s="2">
        <f t="shared" si="104"/>
        <v>0</v>
      </c>
      <c r="AY159" s="2">
        <f t="shared" si="104"/>
        <v>0</v>
      </c>
      <c r="AZ159" s="2">
        <f t="shared" si="104"/>
        <v>0</v>
      </c>
      <c r="BA159" s="2">
        <f t="shared" si="104"/>
        <v>0</v>
      </c>
      <c r="BB159" s="2">
        <f t="shared" si="104"/>
        <v>0</v>
      </c>
      <c r="BC159" s="2">
        <f t="shared" si="104"/>
        <v>0</v>
      </c>
      <c r="BD159" s="2">
        <f t="shared" si="104"/>
        <v>11931.3</v>
      </c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>
        <f>ROUND(SUMIF(AA153:AA157,"=61635504",FQ153:FQ157),2)</f>
        <v>0</v>
      </c>
      <c r="BY159" s="2">
        <f>ROUND(SUMIF(AA153:AA157,"=61635504",FR153:FR157),2)</f>
        <v>0</v>
      </c>
      <c r="BZ159" s="2">
        <f>ROUND(SUMIF(AA153:AA157,"=61635504",GL153:GL157),2)</f>
        <v>0</v>
      </c>
      <c r="CA159" s="2">
        <f>ROUND(SUMIF(AA153:AA157,"=61635504",GM153:GM157),2)</f>
        <v>61447.24</v>
      </c>
      <c r="CB159" s="2">
        <f>ROUND(SUMIF(AA153:AA157,"=61635504",GN153:GN157),2)</f>
        <v>61447.24</v>
      </c>
      <c r="CC159" s="2">
        <f>ROUND(SUMIF(AA153:AA157,"=61635504",GO153:GO157),2)</f>
        <v>0</v>
      </c>
      <c r="CD159" s="2">
        <f>ROUND(SUMIF(AA153:AA157,"=61635504",GP153:GP157),2)</f>
        <v>0</v>
      </c>
      <c r="CE159" s="2">
        <f>AC159-BX159</f>
        <v>0</v>
      </c>
      <c r="CF159" s="2">
        <f>AC159-BY159</f>
        <v>0</v>
      </c>
      <c r="CG159" s="2">
        <f>BX159-BZ159</f>
        <v>0</v>
      </c>
      <c r="CH159" s="2">
        <f>AC159-BX159-BY159+BZ159</f>
        <v>0</v>
      </c>
      <c r="CI159" s="2">
        <f>BY159-BZ159</f>
        <v>0</v>
      </c>
      <c r="CJ159" s="2">
        <f>ROUND(SUMIF(AA153:AA157,"=61635504",GX153:GX157),2)</f>
        <v>0</v>
      </c>
      <c r="CK159" s="2">
        <f>ROUND(SUMIF(AA153:AA157,"=61635504",GY153:GY157),2)</f>
        <v>0</v>
      </c>
      <c r="CL159" s="2">
        <f>ROUND(SUMIF(AA153:AA157,"=61635504",GZ153:GZ157),2)</f>
        <v>0</v>
      </c>
      <c r="CM159" s="2">
        <f>ROUND(SUMIF(AA153:AA157,"=61635504",HD153:HD157),2)</f>
        <v>11931.3</v>
      </c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>
        <v>0</v>
      </c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201</v>
      </c>
      <c r="F161" s="4">
        <f>ROUND(Source!O159,O161)</f>
        <v>23325.82</v>
      </c>
      <c r="G161" s="4" t="s">
        <v>52</v>
      </c>
      <c r="H161" s="4" t="s">
        <v>53</v>
      </c>
      <c r="I161" s="4"/>
      <c r="J161" s="4"/>
      <c r="K161" s="4">
        <v>201</v>
      </c>
      <c r="L161" s="4">
        <v>1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35257.120000000003</v>
      </c>
      <c r="X161" s="4">
        <v>1</v>
      </c>
      <c r="Y161" s="4">
        <v>35257.120000000003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202</v>
      </c>
      <c r="F162" s="4">
        <f>ROUND(Source!P159,O162)</f>
        <v>0</v>
      </c>
      <c r="G162" s="4" t="s">
        <v>54</v>
      </c>
      <c r="H162" s="4" t="s">
        <v>55</v>
      </c>
      <c r="I162" s="4"/>
      <c r="J162" s="4"/>
      <c r="K162" s="4">
        <v>202</v>
      </c>
      <c r="L162" s="4">
        <v>2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222</v>
      </c>
      <c r="F163" s="4">
        <f>ROUND(Source!AO159,O163)</f>
        <v>0</v>
      </c>
      <c r="G163" s="4" t="s">
        <v>56</v>
      </c>
      <c r="H163" s="4" t="s">
        <v>57</v>
      </c>
      <c r="I163" s="4"/>
      <c r="J163" s="4"/>
      <c r="K163" s="4">
        <v>222</v>
      </c>
      <c r="L163" s="4">
        <v>3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225</v>
      </c>
      <c r="F164" s="4">
        <f>ROUND(Source!AV159,O164)</f>
        <v>0</v>
      </c>
      <c r="G164" s="4" t="s">
        <v>58</v>
      </c>
      <c r="H164" s="4" t="s">
        <v>59</v>
      </c>
      <c r="I164" s="4"/>
      <c r="J164" s="4"/>
      <c r="K164" s="4">
        <v>225</v>
      </c>
      <c r="L164" s="4">
        <v>4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226</v>
      </c>
      <c r="F165" s="4">
        <f>ROUND(Source!AW159,O165)</f>
        <v>0</v>
      </c>
      <c r="G165" s="4" t="s">
        <v>60</v>
      </c>
      <c r="H165" s="4" t="s">
        <v>61</v>
      </c>
      <c r="I165" s="4"/>
      <c r="J165" s="4"/>
      <c r="K165" s="4">
        <v>226</v>
      </c>
      <c r="L165" s="4">
        <v>5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227</v>
      </c>
      <c r="F166" s="4">
        <f>ROUND(Source!AX159,O166)</f>
        <v>0</v>
      </c>
      <c r="G166" s="4" t="s">
        <v>62</v>
      </c>
      <c r="H166" s="4" t="s">
        <v>63</v>
      </c>
      <c r="I166" s="4"/>
      <c r="J166" s="4"/>
      <c r="K166" s="4">
        <v>227</v>
      </c>
      <c r="L166" s="4">
        <v>6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228</v>
      </c>
      <c r="F167" s="4">
        <f>ROUND(Source!AY159,O167)</f>
        <v>0</v>
      </c>
      <c r="G167" s="4" t="s">
        <v>64</v>
      </c>
      <c r="H167" s="4" t="s">
        <v>65</v>
      </c>
      <c r="I167" s="4"/>
      <c r="J167" s="4"/>
      <c r="K167" s="4">
        <v>228</v>
      </c>
      <c r="L167" s="4">
        <v>7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216</v>
      </c>
      <c r="F168" s="4">
        <f>ROUND(Source!AP159,O168)</f>
        <v>0</v>
      </c>
      <c r="G168" s="4" t="s">
        <v>66</v>
      </c>
      <c r="H168" s="4" t="s">
        <v>67</v>
      </c>
      <c r="I168" s="4"/>
      <c r="J168" s="4"/>
      <c r="K168" s="4">
        <v>216</v>
      </c>
      <c r="L168" s="4">
        <v>8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223</v>
      </c>
      <c r="F169" s="4">
        <f>ROUND(Source!AQ159,O169)</f>
        <v>0</v>
      </c>
      <c r="G169" s="4" t="s">
        <v>68</v>
      </c>
      <c r="H169" s="4" t="s">
        <v>69</v>
      </c>
      <c r="I169" s="4"/>
      <c r="J169" s="4"/>
      <c r="K169" s="4">
        <v>223</v>
      </c>
      <c r="L169" s="4">
        <v>9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229</v>
      </c>
      <c r="F170" s="4">
        <f>ROUND(Source!AZ159,O170)</f>
        <v>0</v>
      </c>
      <c r="G170" s="4" t="s">
        <v>70</v>
      </c>
      <c r="H170" s="4" t="s">
        <v>71</v>
      </c>
      <c r="I170" s="4"/>
      <c r="J170" s="4"/>
      <c r="K170" s="4">
        <v>229</v>
      </c>
      <c r="L170" s="4">
        <v>10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203</v>
      </c>
      <c r="F171" s="4">
        <f>ROUND(Source!Q159,O171)</f>
        <v>6537.28</v>
      </c>
      <c r="G171" s="4" t="s">
        <v>72</v>
      </c>
      <c r="H171" s="4" t="s">
        <v>73</v>
      </c>
      <c r="I171" s="4"/>
      <c r="J171" s="4"/>
      <c r="K171" s="4">
        <v>203</v>
      </c>
      <c r="L171" s="4">
        <v>11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6537.28</v>
      </c>
      <c r="X171" s="4">
        <v>1</v>
      </c>
      <c r="Y171" s="4">
        <v>6537.28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231</v>
      </c>
      <c r="F172" s="4">
        <f>ROUND(Source!BB159,O172)</f>
        <v>0</v>
      </c>
      <c r="G172" s="4" t="s">
        <v>74</v>
      </c>
      <c r="H172" s="4" t="s">
        <v>75</v>
      </c>
      <c r="I172" s="4"/>
      <c r="J172" s="4"/>
      <c r="K172" s="4">
        <v>231</v>
      </c>
      <c r="L172" s="4">
        <v>12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204</v>
      </c>
      <c r="F173" s="4">
        <f>ROUND(Source!R159,O173)</f>
        <v>0</v>
      </c>
      <c r="G173" s="4" t="s">
        <v>76</v>
      </c>
      <c r="H173" s="4" t="s">
        <v>77</v>
      </c>
      <c r="I173" s="4"/>
      <c r="J173" s="4"/>
      <c r="K173" s="4">
        <v>204</v>
      </c>
      <c r="L173" s="4">
        <v>13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205</v>
      </c>
      <c r="F174" s="4">
        <f>ROUND(Source!S159,O174)</f>
        <v>16788.54</v>
      </c>
      <c r="G174" s="4" t="s">
        <v>78</v>
      </c>
      <c r="H174" s="4" t="s">
        <v>79</v>
      </c>
      <c r="I174" s="4"/>
      <c r="J174" s="4"/>
      <c r="K174" s="4">
        <v>205</v>
      </c>
      <c r="L174" s="4">
        <v>14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16788.54</v>
      </c>
      <c r="X174" s="4">
        <v>1</v>
      </c>
      <c r="Y174" s="4">
        <v>16788.54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232</v>
      </c>
      <c r="F175" s="4">
        <f>ROUND(Source!BC159,O175)</f>
        <v>0</v>
      </c>
      <c r="G175" s="4" t="s">
        <v>80</v>
      </c>
      <c r="H175" s="4" t="s">
        <v>81</v>
      </c>
      <c r="I175" s="4"/>
      <c r="J175" s="4"/>
      <c r="K175" s="4">
        <v>232</v>
      </c>
      <c r="L175" s="4">
        <v>15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214</v>
      </c>
      <c r="F176" s="4">
        <f>ROUND(Source!AS159,O176)</f>
        <v>61447.24</v>
      </c>
      <c r="G176" s="4" t="s">
        <v>82</v>
      </c>
      <c r="H176" s="4" t="s">
        <v>83</v>
      </c>
      <c r="I176" s="4"/>
      <c r="J176" s="4"/>
      <c r="K176" s="4">
        <v>214</v>
      </c>
      <c r="L176" s="4">
        <v>16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61447.24</v>
      </c>
      <c r="X176" s="4">
        <v>1</v>
      </c>
      <c r="Y176" s="4">
        <v>61447.24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215</v>
      </c>
      <c r="F177" s="4">
        <f>ROUND(Source!AT159,O177)</f>
        <v>0</v>
      </c>
      <c r="G177" s="4" t="s">
        <v>84</v>
      </c>
      <c r="H177" s="4" t="s">
        <v>85</v>
      </c>
      <c r="I177" s="4"/>
      <c r="J177" s="4"/>
      <c r="K177" s="4">
        <v>215</v>
      </c>
      <c r="L177" s="4">
        <v>17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217</v>
      </c>
      <c r="F178" s="4">
        <f>ROUND(Source!AU159,O178)</f>
        <v>0</v>
      </c>
      <c r="G178" s="4" t="s">
        <v>86</v>
      </c>
      <c r="H178" s="4" t="s">
        <v>87</v>
      </c>
      <c r="I178" s="4"/>
      <c r="J178" s="4"/>
      <c r="K178" s="4">
        <v>217</v>
      </c>
      <c r="L178" s="4">
        <v>18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230</v>
      </c>
      <c r="F179" s="4">
        <f>ROUND(Source!BA159,O179)</f>
        <v>0</v>
      </c>
      <c r="G179" s="4" t="s">
        <v>88</v>
      </c>
      <c r="H179" s="4" t="s">
        <v>89</v>
      </c>
      <c r="I179" s="4"/>
      <c r="J179" s="4"/>
      <c r="K179" s="4">
        <v>230</v>
      </c>
      <c r="L179" s="4">
        <v>19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206</v>
      </c>
      <c r="F180" s="4">
        <f>ROUND(Source!T159,O180)</f>
        <v>0</v>
      </c>
      <c r="G180" s="4" t="s">
        <v>90</v>
      </c>
      <c r="H180" s="4" t="s">
        <v>91</v>
      </c>
      <c r="I180" s="4"/>
      <c r="J180" s="4"/>
      <c r="K180" s="4">
        <v>206</v>
      </c>
      <c r="L180" s="4">
        <v>20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207</v>
      </c>
      <c r="F181" s="4">
        <f>ROUND(Source!U159,O181)</f>
        <v>43.8</v>
      </c>
      <c r="G181" s="4" t="s">
        <v>92</v>
      </c>
      <c r="H181" s="4" t="s">
        <v>93</v>
      </c>
      <c r="I181" s="4"/>
      <c r="J181" s="4"/>
      <c r="K181" s="4">
        <v>207</v>
      </c>
      <c r="L181" s="4">
        <v>21</v>
      </c>
      <c r="M181" s="4">
        <v>3</v>
      </c>
      <c r="N181" s="4" t="s">
        <v>3</v>
      </c>
      <c r="O181" s="4">
        <v>7</v>
      </c>
      <c r="P181" s="4"/>
      <c r="Q181" s="4"/>
      <c r="R181" s="4"/>
      <c r="S181" s="4"/>
      <c r="T181" s="4"/>
      <c r="U181" s="4"/>
      <c r="V181" s="4"/>
      <c r="W181" s="4">
        <v>43.8</v>
      </c>
      <c r="X181" s="4">
        <v>1</v>
      </c>
      <c r="Y181" s="4">
        <v>43.8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208</v>
      </c>
      <c r="F182" s="4">
        <f>ROUND(Source!V159,O182)</f>
        <v>0</v>
      </c>
      <c r="G182" s="4" t="s">
        <v>94</v>
      </c>
      <c r="H182" s="4" t="s">
        <v>95</v>
      </c>
      <c r="I182" s="4"/>
      <c r="J182" s="4"/>
      <c r="K182" s="4">
        <v>208</v>
      </c>
      <c r="L182" s="4">
        <v>22</v>
      </c>
      <c r="M182" s="4">
        <v>3</v>
      </c>
      <c r="N182" s="4" t="s">
        <v>3</v>
      </c>
      <c r="O182" s="4">
        <v>7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209</v>
      </c>
      <c r="F183" s="4">
        <f>ROUND(Source!W159,O183)</f>
        <v>0</v>
      </c>
      <c r="G183" s="4" t="s">
        <v>96</v>
      </c>
      <c r="H183" s="4" t="s">
        <v>97</v>
      </c>
      <c r="I183" s="4"/>
      <c r="J183" s="4"/>
      <c r="K183" s="4">
        <v>209</v>
      </c>
      <c r="L183" s="4">
        <v>23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233</v>
      </c>
      <c r="F184" s="4">
        <f>ROUND(Source!BD159,O184)</f>
        <v>11931.3</v>
      </c>
      <c r="G184" s="4" t="s">
        <v>98</v>
      </c>
      <c r="H184" s="4" t="s">
        <v>99</v>
      </c>
      <c r="I184" s="4"/>
      <c r="J184" s="4"/>
      <c r="K184" s="4">
        <v>233</v>
      </c>
      <c r="L184" s="4">
        <v>24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11931.3</v>
      </c>
      <c r="X184" s="4">
        <v>1</v>
      </c>
      <c r="Y184" s="4">
        <v>11931.3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210</v>
      </c>
      <c r="F185" s="4">
        <f>ROUND(Source!X159,O185)</f>
        <v>17124.310000000001</v>
      </c>
      <c r="G185" s="4" t="s">
        <v>100</v>
      </c>
      <c r="H185" s="4" t="s">
        <v>101</v>
      </c>
      <c r="I185" s="4"/>
      <c r="J185" s="4"/>
      <c r="K185" s="4">
        <v>210</v>
      </c>
      <c r="L185" s="4">
        <v>25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17124.310000000001</v>
      </c>
      <c r="X185" s="4">
        <v>1</v>
      </c>
      <c r="Y185" s="4">
        <v>17124.310000000001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211</v>
      </c>
      <c r="F186" s="4">
        <f>ROUND(Source!Y159,O186)</f>
        <v>9065.81</v>
      </c>
      <c r="G186" s="4" t="s">
        <v>102</v>
      </c>
      <c r="H186" s="4" t="s">
        <v>103</v>
      </c>
      <c r="I186" s="4"/>
      <c r="J186" s="4"/>
      <c r="K186" s="4">
        <v>211</v>
      </c>
      <c r="L186" s="4">
        <v>26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9065.81</v>
      </c>
      <c r="X186" s="4">
        <v>1</v>
      </c>
      <c r="Y186" s="4">
        <v>9065.81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224</v>
      </c>
      <c r="F187" s="4">
        <f>ROUND(Source!AR159,O187)</f>
        <v>61447.24</v>
      </c>
      <c r="G187" s="4" t="s">
        <v>104</v>
      </c>
      <c r="H187" s="4" t="s">
        <v>105</v>
      </c>
      <c r="I187" s="4"/>
      <c r="J187" s="4"/>
      <c r="K187" s="4">
        <v>224</v>
      </c>
      <c r="L187" s="4">
        <v>27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61447.240000000005</v>
      </c>
      <c r="X187" s="4">
        <v>1</v>
      </c>
      <c r="Y187" s="4">
        <v>61447.240000000005</v>
      </c>
      <c r="Z187" s="4"/>
      <c r="AA187" s="4"/>
      <c r="AB187" s="4"/>
    </row>
    <row r="189" spans="1:206" x14ac:dyDescent="0.2">
      <c r="A189" s="1">
        <v>4</v>
      </c>
      <c r="B189" s="1">
        <v>1</v>
      </c>
      <c r="C189" s="1"/>
      <c r="D189" s="1">
        <f>ROW(A196)</f>
        <v>196</v>
      </c>
      <c r="E189" s="1"/>
      <c r="F189" s="1" t="s">
        <v>18</v>
      </c>
      <c r="G189" s="1" t="s">
        <v>218</v>
      </c>
      <c r="H189" s="1" t="s">
        <v>3</v>
      </c>
      <c r="I189" s="1">
        <v>0</v>
      </c>
      <c r="J189" s="1"/>
      <c r="K189" s="1">
        <v>0</v>
      </c>
      <c r="L189" s="1"/>
      <c r="M189" s="1" t="s">
        <v>3</v>
      </c>
      <c r="N189" s="1"/>
      <c r="O189" s="1"/>
      <c r="P189" s="1"/>
      <c r="Q189" s="1"/>
      <c r="R189" s="1"/>
      <c r="S189" s="1">
        <v>0</v>
      </c>
      <c r="T189" s="1"/>
      <c r="U189" s="1" t="s">
        <v>3</v>
      </c>
      <c r="V189" s="1">
        <v>0</v>
      </c>
      <c r="W189" s="1"/>
      <c r="X189" s="1"/>
      <c r="Y189" s="1"/>
      <c r="Z189" s="1"/>
      <c r="AA189" s="1"/>
      <c r="AB189" s="1" t="s">
        <v>3</v>
      </c>
      <c r="AC189" s="1" t="s">
        <v>3</v>
      </c>
      <c r="AD189" s="1" t="s">
        <v>3</v>
      </c>
      <c r="AE189" s="1" t="s">
        <v>3</v>
      </c>
      <c r="AF189" s="1" t="s">
        <v>3</v>
      </c>
      <c r="AG189" s="1" t="s">
        <v>3</v>
      </c>
      <c r="AH189" s="1"/>
      <c r="AI189" s="1"/>
      <c r="AJ189" s="1"/>
      <c r="AK189" s="1"/>
      <c r="AL189" s="1"/>
      <c r="AM189" s="1"/>
      <c r="AN189" s="1"/>
      <c r="AO189" s="1"/>
      <c r="AP189" s="1" t="s">
        <v>3</v>
      </c>
      <c r="AQ189" s="1" t="s">
        <v>3</v>
      </c>
      <c r="AR189" s="1" t="s">
        <v>3</v>
      </c>
      <c r="AS189" s="1"/>
      <c r="AT189" s="1"/>
      <c r="AU189" s="1"/>
      <c r="AV189" s="1"/>
      <c r="AW189" s="1"/>
      <c r="AX189" s="1"/>
      <c r="AY189" s="1"/>
      <c r="AZ189" s="1" t="s">
        <v>3</v>
      </c>
      <c r="BA189" s="1"/>
      <c r="BB189" s="1" t="s">
        <v>3</v>
      </c>
      <c r="BC189" s="1" t="s">
        <v>3</v>
      </c>
      <c r="BD189" s="1" t="s">
        <v>3</v>
      </c>
      <c r="BE189" s="1" t="s">
        <v>3</v>
      </c>
      <c r="BF189" s="1" t="s">
        <v>3</v>
      </c>
      <c r="BG189" s="1" t="s">
        <v>3</v>
      </c>
      <c r="BH189" s="1" t="s">
        <v>3</v>
      </c>
      <c r="BI189" s="1" t="s">
        <v>3</v>
      </c>
      <c r="BJ189" s="1" t="s">
        <v>3</v>
      </c>
      <c r="BK189" s="1" t="s">
        <v>3</v>
      </c>
      <c r="BL189" s="1" t="s">
        <v>3</v>
      </c>
      <c r="BM189" s="1" t="s">
        <v>3</v>
      </c>
      <c r="BN189" s="1" t="s">
        <v>3</v>
      </c>
      <c r="BO189" s="1" t="s">
        <v>3</v>
      </c>
      <c r="BP189" s="1" t="s">
        <v>3</v>
      </c>
      <c r="BQ189" s="1"/>
      <c r="BR189" s="1"/>
      <c r="BS189" s="1"/>
      <c r="BT189" s="1"/>
      <c r="BU189" s="1"/>
      <c r="BV189" s="1"/>
      <c r="BW189" s="1"/>
      <c r="BX189" s="1">
        <v>0</v>
      </c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>
        <v>0</v>
      </c>
    </row>
    <row r="191" spans="1:206" x14ac:dyDescent="0.2">
      <c r="A191" s="2">
        <v>52</v>
      </c>
      <c r="B191" s="2">
        <f t="shared" ref="B191:G191" si="105">B196</f>
        <v>1</v>
      </c>
      <c r="C191" s="2">
        <f t="shared" si="105"/>
        <v>4</v>
      </c>
      <c r="D191" s="2">
        <f t="shared" si="105"/>
        <v>189</v>
      </c>
      <c r="E191" s="2">
        <f t="shared" si="105"/>
        <v>0</v>
      </c>
      <c r="F191" s="2" t="str">
        <f t="shared" si="105"/>
        <v>Новый раздел</v>
      </c>
      <c r="G191" s="2" t="str">
        <f t="shared" si="105"/>
        <v>Пусконаладочные работы</v>
      </c>
      <c r="H191" s="2"/>
      <c r="I191" s="2"/>
      <c r="J191" s="2"/>
      <c r="K191" s="2"/>
      <c r="L191" s="2"/>
      <c r="M191" s="2"/>
      <c r="N191" s="2"/>
      <c r="O191" s="2">
        <f t="shared" ref="O191:AT191" si="106">O196</f>
        <v>2636.57</v>
      </c>
      <c r="P191" s="2">
        <f t="shared" si="106"/>
        <v>0</v>
      </c>
      <c r="Q191" s="2">
        <f t="shared" si="106"/>
        <v>0</v>
      </c>
      <c r="R191" s="2">
        <f t="shared" si="106"/>
        <v>0</v>
      </c>
      <c r="S191" s="2">
        <f t="shared" si="106"/>
        <v>2636.57</v>
      </c>
      <c r="T191" s="2">
        <f t="shared" si="106"/>
        <v>0</v>
      </c>
      <c r="U191" s="2">
        <f t="shared" si="106"/>
        <v>4.5599999999999996</v>
      </c>
      <c r="V191" s="2">
        <f t="shared" si="106"/>
        <v>0</v>
      </c>
      <c r="W191" s="2">
        <f t="shared" si="106"/>
        <v>0</v>
      </c>
      <c r="X191" s="2">
        <f t="shared" si="106"/>
        <v>1951.07</v>
      </c>
      <c r="Y191" s="2">
        <f t="shared" si="106"/>
        <v>949.16</v>
      </c>
      <c r="Z191" s="2">
        <f t="shared" si="106"/>
        <v>0</v>
      </c>
      <c r="AA191" s="2">
        <f t="shared" si="106"/>
        <v>0</v>
      </c>
      <c r="AB191" s="2">
        <f t="shared" si="106"/>
        <v>2636.57</v>
      </c>
      <c r="AC191" s="2">
        <f t="shared" si="106"/>
        <v>0</v>
      </c>
      <c r="AD191" s="2">
        <f t="shared" si="106"/>
        <v>0</v>
      </c>
      <c r="AE191" s="2">
        <f t="shared" si="106"/>
        <v>0</v>
      </c>
      <c r="AF191" s="2">
        <f t="shared" si="106"/>
        <v>2636.57</v>
      </c>
      <c r="AG191" s="2">
        <f t="shared" si="106"/>
        <v>0</v>
      </c>
      <c r="AH191" s="2">
        <f t="shared" si="106"/>
        <v>4.5599999999999996</v>
      </c>
      <c r="AI191" s="2">
        <f t="shared" si="106"/>
        <v>0</v>
      </c>
      <c r="AJ191" s="2">
        <f t="shared" si="106"/>
        <v>0</v>
      </c>
      <c r="AK191" s="2">
        <f t="shared" si="106"/>
        <v>1951.07</v>
      </c>
      <c r="AL191" s="2">
        <f t="shared" si="106"/>
        <v>949.16</v>
      </c>
      <c r="AM191" s="2">
        <f t="shared" si="106"/>
        <v>0</v>
      </c>
      <c r="AN191" s="2">
        <f t="shared" si="106"/>
        <v>0</v>
      </c>
      <c r="AO191" s="2">
        <f t="shared" si="106"/>
        <v>0</v>
      </c>
      <c r="AP191" s="2">
        <f t="shared" si="106"/>
        <v>0</v>
      </c>
      <c r="AQ191" s="2">
        <f t="shared" si="106"/>
        <v>0</v>
      </c>
      <c r="AR191" s="2">
        <f t="shared" si="106"/>
        <v>5536.8</v>
      </c>
      <c r="AS191" s="2">
        <f t="shared" si="106"/>
        <v>0</v>
      </c>
      <c r="AT191" s="2">
        <f t="shared" si="106"/>
        <v>0</v>
      </c>
      <c r="AU191" s="2">
        <f t="shared" ref="AU191:BZ191" si="107">AU196</f>
        <v>5536.8</v>
      </c>
      <c r="AV191" s="2">
        <f t="shared" si="107"/>
        <v>0</v>
      </c>
      <c r="AW191" s="2">
        <f t="shared" si="107"/>
        <v>0</v>
      </c>
      <c r="AX191" s="2">
        <f t="shared" si="107"/>
        <v>0</v>
      </c>
      <c r="AY191" s="2">
        <f t="shared" si="107"/>
        <v>0</v>
      </c>
      <c r="AZ191" s="2">
        <f t="shared" si="107"/>
        <v>0</v>
      </c>
      <c r="BA191" s="2">
        <f t="shared" si="107"/>
        <v>0</v>
      </c>
      <c r="BB191" s="2">
        <f t="shared" si="107"/>
        <v>0</v>
      </c>
      <c r="BC191" s="2">
        <f t="shared" si="107"/>
        <v>0</v>
      </c>
      <c r="BD191" s="2">
        <f t="shared" si="107"/>
        <v>0</v>
      </c>
      <c r="BE191" s="2">
        <f t="shared" si="107"/>
        <v>0</v>
      </c>
      <c r="BF191" s="2">
        <f t="shared" si="107"/>
        <v>0</v>
      </c>
      <c r="BG191" s="2">
        <f t="shared" si="107"/>
        <v>0</v>
      </c>
      <c r="BH191" s="2">
        <f t="shared" si="107"/>
        <v>0</v>
      </c>
      <c r="BI191" s="2">
        <f t="shared" si="107"/>
        <v>0</v>
      </c>
      <c r="BJ191" s="2">
        <f t="shared" si="107"/>
        <v>0</v>
      </c>
      <c r="BK191" s="2">
        <f t="shared" si="107"/>
        <v>0</v>
      </c>
      <c r="BL191" s="2">
        <f t="shared" si="107"/>
        <v>0</v>
      </c>
      <c r="BM191" s="2">
        <f t="shared" si="107"/>
        <v>0</v>
      </c>
      <c r="BN191" s="2">
        <f t="shared" si="107"/>
        <v>0</v>
      </c>
      <c r="BO191" s="2">
        <f t="shared" si="107"/>
        <v>0</v>
      </c>
      <c r="BP191" s="2">
        <f t="shared" si="107"/>
        <v>0</v>
      </c>
      <c r="BQ191" s="2">
        <f t="shared" si="107"/>
        <v>0</v>
      </c>
      <c r="BR191" s="2">
        <f t="shared" si="107"/>
        <v>0</v>
      </c>
      <c r="BS191" s="2">
        <f t="shared" si="107"/>
        <v>0</v>
      </c>
      <c r="BT191" s="2">
        <f t="shared" si="107"/>
        <v>0</v>
      </c>
      <c r="BU191" s="2">
        <f t="shared" si="107"/>
        <v>0</v>
      </c>
      <c r="BV191" s="2">
        <f t="shared" si="107"/>
        <v>0</v>
      </c>
      <c r="BW191" s="2">
        <f t="shared" si="107"/>
        <v>0</v>
      </c>
      <c r="BX191" s="2">
        <f t="shared" si="107"/>
        <v>0</v>
      </c>
      <c r="BY191" s="2">
        <f t="shared" si="107"/>
        <v>0</v>
      </c>
      <c r="BZ191" s="2">
        <f t="shared" si="107"/>
        <v>0</v>
      </c>
      <c r="CA191" s="2">
        <f t="shared" ref="CA191:DF191" si="108">CA196</f>
        <v>5536.8</v>
      </c>
      <c r="CB191" s="2">
        <f t="shared" si="108"/>
        <v>0</v>
      </c>
      <c r="CC191" s="2">
        <f t="shared" si="108"/>
        <v>0</v>
      </c>
      <c r="CD191" s="2">
        <f t="shared" si="108"/>
        <v>5536.8</v>
      </c>
      <c r="CE191" s="2">
        <f t="shared" si="108"/>
        <v>0</v>
      </c>
      <c r="CF191" s="2">
        <f t="shared" si="108"/>
        <v>0</v>
      </c>
      <c r="CG191" s="2">
        <f t="shared" si="108"/>
        <v>0</v>
      </c>
      <c r="CH191" s="2">
        <f t="shared" si="108"/>
        <v>0</v>
      </c>
      <c r="CI191" s="2">
        <f t="shared" si="108"/>
        <v>0</v>
      </c>
      <c r="CJ191" s="2">
        <f t="shared" si="108"/>
        <v>0</v>
      </c>
      <c r="CK191" s="2">
        <f t="shared" si="108"/>
        <v>0</v>
      </c>
      <c r="CL191" s="2">
        <f t="shared" si="108"/>
        <v>0</v>
      </c>
      <c r="CM191" s="2">
        <f t="shared" si="108"/>
        <v>0</v>
      </c>
      <c r="CN191" s="2">
        <f t="shared" si="108"/>
        <v>0</v>
      </c>
      <c r="CO191" s="2">
        <f t="shared" si="108"/>
        <v>0</v>
      </c>
      <c r="CP191" s="2">
        <f t="shared" si="108"/>
        <v>0</v>
      </c>
      <c r="CQ191" s="2">
        <f t="shared" si="108"/>
        <v>0</v>
      </c>
      <c r="CR191" s="2">
        <f t="shared" si="108"/>
        <v>0</v>
      </c>
      <c r="CS191" s="2">
        <f t="shared" si="108"/>
        <v>0</v>
      </c>
      <c r="CT191" s="2">
        <f t="shared" si="108"/>
        <v>0</v>
      </c>
      <c r="CU191" s="2">
        <f t="shared" si="108"/>
        <v>0</v>
      </c>
      <c r="CV191" s="2">
        <f t="shared" si="108"/>
        <v>0</v>
      </c>
      <c r="CW191" s="2">
        <f t="shared" si="108"/>
        <v>0</v>
      </c>
      <c r="CX191" s="2">
        <f t="shared" si="108"/>
        <v>0</v>
      </c>
      <c r="CY191" s="2">
        <f t="shared" si="108"/>
        <v>0</v>
      </c>
      <c r="CZ191" s="2">
        <f t="shared" si="108"/>
        <v>0</v>
      </c>
      <c r="DA191" s="2">
        <f t="shared" si="108"/>
        <v>0</v>
      </c>
      <c r="DB191" s="2">
        <f t="shared" si="108"/>
        <v>0</v>
      </c>
      <c r="DC191" s="2">
        <f t="shared" si="108"/>
        <v>0</v>
      </c>
      <c r="DD191" s="2">
        <f t="shared" si="108"/>
        <v>0</v>
      </c>
      <c r="DE191" s="2">
        <f t="shared" si="108"/>
        <v>0</v>
      </c>
      <c r="DF191" s="2">
        <f t="shared" si="108"/>
        <v>0</v>
      </c>
      <c r="DG191" s="3">
        <f t="shared" ref="DG191:EL191" si="109">DG196</f>
        <v>0</v>
      </c>
      <c r="DH191" s="3">
        <f t="shared" si="109"/>
        <v>0</v>
      </c>
      <c r="DI191" s="3">
        <f t="shared" si="109"/>
        <v>0</v>
      </c>
      <c r="DJ191" s="3">
        <f t="shared" si="109"/>
        <v>0</v>
      </c>
      <c r="DK191" s="3">
        <f t="shared" si="109"/>
        <v>0</v>
      </c>
      <c r="DL191" s="3">
        <f t="shared" si="109"/>
        <v>0</v>
      </c>
      <c r="DM191" s="3">
        <f t="shared" si="109"/>
        <v>0</v>
      </c>
      <c r="DN191" s="3">
        <f t="shared" si="109"/>
        <v>0</v>
      </c>
      <c r="DO191" s="3">
        <f t="shared" si="109"/>
        <v>0</v>
      </c>
      <c r="DP191" s="3">
        <f t="shared" si="109"/>
        <v>0</v>
      </c>
      <c r="DQ191" s="3">
        <f t="shared" si="109"/>
        <v>0</v>
      </c>
      <c r="DR191" s="3">
        <f t="shared" si="109"/>
        <v>0</v>
      </c>
      <c r="DS191" s="3">
        <f t="shared" si="109"/>
        <v>0</v>
      </c>
      <c r="DT191" s="3">
        <f t="shared" si="109"/>
        <v>0</v>
      </c>
      <c r="DU191" s="3">
        <f t="shared" si="109"/>
        <v>0</v>
      </c>
      <c r="DV191" s="3">
        <f t="shared" si="109"/>
        <v>0</v>
      </c>
      <c r="DW191" s="3">
        <f t="shared" si="109"/>
        <v>0</v>
      </c>
      <c r="DX191" s="3">
        <f t="shared" si="109"/>
        <v>0</v>
      </c>
      <c r="DY191" s="3">
        <f t="shared" si="109"/>
        <v>0</v>
      </c>
      <c r="DZ191" s="3">
        <f t="shared" si="109"/>
        <v>0</v>
      </c>
      <c r="EA191" s="3">
        <f t="shared" si="109"/>
        <v>0</v>
      </c>
      <c r="EB191" s="3">
        <f t="shared" si="109"/>
        <v>0</v>
      </c>
      <c r="EC191" s="3">
        <f t="shared" si="109"/>
        <v>0</v>
      </c>
      <c r="ED191" s="3">
        <f t="shared" si="109"/>
        <v>0</v>
      </c>
      <c r="EE191" s="3">
        <f t="shared" si="109"/>
        <v>0</v>
      </c>
      <c r="EF191" s="3">
        <f t="shared" si="109"/>
        <v>0</v>
      </c>
      <c r="EG191" s="3">
        <f t="shared" si="109"/>
        <v>0</v>
      </c>
      <c r="EH191" s="3">
        <f t="shared" si="109"/>
        <v>0</v>
      </c>
      <c r="EI191" s="3">
        <f t="shared" si="109"/>
        <v>0</v>
      </c>
      <c r="EJ191" s="3">
        <f t="shared" si="109"/>
        <v>0</v>
      </c>
      <c r="EK191" s="3">
        <f t="shared" si="109"/>
        <v>0</v>
      </c>
      <c r="EL191" s="3">
        <f t="shared" si="109"/>
        <v>0</v>
      </c>
      <c r="EM191" s="3">
        <f t="shared" ref="EM191:FR191" si="110">EM196</f>
        <v>0</v>
      </c>
      <c r="EN191" s="3">
        <f t="shared" si="110"/>
        <v>0</v>
      </c>
      <c r="EO191" s="3">
        <f t="shared" si="110"/>
        <v>0</v>
      </c>
      <c r="EP191" s="3">
        <f t="shared" si="110"/>
        <v>0</v>
      </c>
      <c r="EQ191" s="3">
        <f t="shared" si="110"/>
        <v>0</v>
      </c>
      <c r="ER191" s="3">
        <f t="shared" si="110"/>
        <v>0</v>
      </c>
      <c r="ES191" s="3">
        <f t="shared" si="110"/>
        <v>0</v>
      </c>
      <c r="ET191" s="3">
        <f t="shared" si="110"/>
        <v>0</v>
      </c>
      <c r="EU191" s="3">
        <f t="shared" si="110"/>
        <v>0</v>
      </c>
      <c r="EV191" s="3">
        <f t="shared" si="110"/>
        <v>0</v>
      </c>
      <c r="EW191" s="3">
        <f t="shared" si="110"/>
        <v>0</v>
      </c>
      <c r="EX191" s="3">
        <f t="shared" si="110"/>
        <v>0</v>
      </c>
      <c r="EY191" s="3">
        <f t="shared" si="110"/>
        <v>0</v>
      </c>
      <c r="EZ191" s="3">
        <f t="shared" si="110"/>
        <v>0</v>
      </c>
      <c r="FA191" s="3">
        <f t="shared" si="110"/>
        <v>0</v>
      </c>
      <c r="FB191" s="3">
        <f t="shared" si="110"/>
        <v>0</v>
      </c>
      <c r="FC191" s="3">
        <f t="shared" si="110"/>
        <v>0</v>
      </c>
      <c r="FD191" s="3">
        <f t="shared" si="110"/>
        <v>0</v>
      </c>
      <c r="FE191" s="3">
        <f t="shared" si="110"/>
        <v>0</v>
      </c>
      <c r="FF191" s="3">
        <f t="shared" si="110"/>
        <v>0</v>
      </c>
      <c r="FG191" s="3">
        <f t="shared" si="110"/>
        <v>0</v>
      </c>
      <c r="FH191" s="3">
        <f t="shared" si="110"/>
        <v>0</v>
      </c>
      <c r="FI191" s="3">
        <f t="shared" si="110"/>
        <v>0</v>
      </c>
      <c r="FJ191" s="3">
        <f t="shared" si="110"/>
        <v>0</v>
      </c>
      <c r="FK191" s="3">
        <f t="shared" si="110"/>
        <v>0</v>
      </c>
      <c r="FL191" s="3">
        <f t="shared" si="110"/>
        <v>0</v>
      </c>
      <c r="FM191" s="3">
        <f t="shared" si="110"/>
        <v>0</v>
      </c>
      <c r="FN191" s="3">
        <f t="shared" si="110"/>
        <v>0</v>
      </c>
      <c r="FO191" s="3">
        <f t="shared" si="110"/>
        <v>0</v>
      </c>
      <c r="FP191" s="3">
        <f t="shared" si="110"/>
        <v>0</v>
      </c>
      <c r="FQ191" s="3">
        <f t="shared" si="110"/>
        <v>0</v>
      </c>
      <c r="FR191" s="3">
        <f t="shared" si="110"/>
        <v>0</v>
      </c>
      <c r="FS191" s="3">
        <f t="shared" ref="FS191:GX191" si="111">FS196</f>
        <v>0</v>
      </c>
      <c r="FT191" s="3">
        <f t="shared" si="111"/>
        <v>0</v>
      </c>
      <c r="FU191" s="3">
        <f t="shared" si="111"/>
        <v>0</v>
      </c>
      <c r="FV191" s="3">
        <f t="shared" si="111"/>
        <v>0</v>
      </c>
      <c r="FW191" s="3">
        <f t="shared" si="111"/>
        <v>0</v>
      </c>
      <c r="FX191" s="3">
        <f t="shared" si="111"/>
        <v>0</v>
      </c>
      <c r="FY191" s="3">
        <f t="shared" si="111"/>
        <v>0</v>
      </c>
      <c r="FZ191" s="3">
        <f t="shared" si="111"/>
        <v>0</v>
      </c>
      <c r="GA191" s="3">
        <f t="shared" si="111"/>
        <v>0</v>
      </c>
      <c r="GB191" s="3">
        <f t="shared" si="111"/>
        <v>0</v>
      </c>
      <c r="GC191" s="3">
        <f t="shared" si="111"/>
        <v>0</v>
      </c>
      <c r="GD191" s="3">
        <f t="shared" si="111"/>
        <v>0</v>
      </c>
      <c r="GE191" s="3">
        <f t="shared" si="111"/>
        <v>0</v>
      </c>
      <c r="GF191" s="3">
        <f t="shared" si="111"/>
        <v>0</v>
      </c>
      <c r="GG191" s="3">
        <f t="shared" si="111"/>
        <v>0</v>
      </c>
      <c r="GH191" s="3">
        <f t="shared" si="111"/>
        <v>0</v>
      </c>
      <c r="GI191" s="3">
        <f t="shared" si="111"/>
        <v>0</v>
      </c>
      <c r="GJ191" s="3">
        <f t="shared" si="111"/>
        <v>0</v>
      </c>
      <c r="GK191" s="3">
        <f t="shared" si="111"/>
        <v>0</v>
      </c>
      <c r="GL191" s="3">
        <f t="shared" si="111"/>
        <v>0</v>
      </c>
      <c r="GM191" s="3">
        <f t="shared" si="111"/>
        <v>0</v>
      </c>
      <c r="GN191" s="3">
        <f t="shared" si="111"/>
        <v>0</v>
      </c>
      <c r="GO191" s="3">
        <f t="shared" si="111"/>
        <v>0</v>
      </c>
      <c r="GP191" s="3">
        <f t="shared" si="111"/>
        <v>0</v>
      </c>
      <c r="GQ191" s="3">
        <f t="shared" si="111"/>
        <v>0</v>
      </c>
      <c r="GR191" s="3">
        <f t="shared" si="111"/>
        <v>0</v>
      </c>
      <c r="GS191" s="3">
        <f t="shared" si="111"/>
        <v>0</v>
      </c>
      <c r="GT191" s="3">
        <f t="shared" si="111"/>
        <v>0</v>
      </c>
      <c r="GU191" s="3">
        <f t="shared" si="111"/>
        <v>0</v>
      </c>
      <c r="GV191" s="3">
        <f t="shared" si="111"/>
        <v>0</v>
      </c>
      <c r="GW191" s="3">
        <f t="shared" si="111"/>
        <v>0</v>
      </c>
      <c r="GX191" s="3">
        <f t="shared" si="111"/>
        <v>0</v>
      </c>
    </row>
    <row r="193" spans="1:245" x14ac:dyDescent="0.2">
      <c r="A193">
        <v>17</v>
      </c>
      <c r="B193">
        <v>1</v>
      </c>
      <c r="C193">
        <f>ROW(SmtRes!A134)</f>
        <v>134</v>
      </c>
      <c r="D193">
        <f>ROW(EtalonRes!A134)</f>
        <v>134</v>
      </c>
      <c r="E193" t="s">
        <v>219</v>
      </c>
      <c r="F193" t="s">
        <v>220</v>
      </c>
      <c r="G193" t="s">
        <v>221</v>
      </c>
      <c r="H193" t="s">
        <v>126</v>
      </c>
      <c r="I193">
        <v>4</v>
      </c>
      <c r="J193">
        <v>0</v>
      </c>
      <c r="K193">
        <v>4</v>
      </c>
      <c r="O193">
        <f>ROUND(CP193,2)</f>
        <v>1896.48</v>
      </c>
      <c r="P193">
        <f>SUMIF(SmtRes!AQ133:'SmtRes'!AQ134,"=1",SmtRes!DF133:'SmtRes'!DF134)</f>
        <v>0</v>
      </c>
      <c r="Q193">
        <f>SUMIF(SmtRes!AQ133:'SmtRes'!AQ134,"=1",SmtRes!DG133:'SmtRes'!DG134)</f>
        <v>0</v>
      </c>
      <c r="R193">
        <f>SUMIF(SmtRes!AQ133:'SmtRes'!AQ134,"=1",SmtRes!DH133:'SmtRes'!DH134)</f>
        <v>0</v>
      </c>
      <c r="S193">
        <f>SUMIF(SmtRes!AQ133:'SmtRes'!AQ134,"=1",SmtRes!DI133:'SmtRes'!DI134)</f>
        <v>1896.48</v>
      </c>
      <c r="T193">
        <f>ROUND(CU193*I193,2)</f>
        <v>0</v>
      </c>
      <c r="U193">
        <f>SUMIF(SmtRes!AQ133:'SmtRes'!AQ134,"=1",SmtRes!CV133:'SmtRes'!CV134)</f>
        <v>3.28</v>
      </c>
      <c r="V193">
        <f>SUMIF(SmtRes!AQ133:'SmtRes'!AQ134,"=1",SmtRes!CW133:'SmtRes'!CW134)</f>
        <v>0</v>
      </c>
      <c r="W193">
        <f>ROUND(CX193*I193,2)</f>
        <v>0</v>
      </c>
      <c r="X193">
        <f>ROUND(CY193,2)</f>
        <v>1403.4</v>
      </c>
      <c r="Y193">
        <f>ROUND(CZ193,2)</f>
        <v>682.73</v>
      </c>
      <c r="AA193">
        <v>61635504</v>
      </c>
      <c r="AB193">
        <f>ROUND((AC193+AD193+AF193),6)</f>
        <v>474.11989999999997</v>
      </c>
      <c r="AC193">
        <f>ROUND((0),6)</f>
        <v>0</v>
      </c>
      <c r="AD193">
        <f>ROUND((((0)-(0))+AE193),6)</f>
        <v>0</v>
      </c>
      <c r="AE193">
        <f>ROUND((0),6)</f>
        <v>0</v>
      </c>
      <c r="AF193">
        <f>ROUND((SUM(SmtRes!BT133:'SmtRes'!BT134)),6)</f>
        <v>474.11989999999997</v>
      </c>
      <c r="AG193">
        <f>ROUND((AP193),6)</f>
        <v>0</v>
      </c>
      <c r="AH193">
        <f>(SUM(SmtRes!BU133:'SmtRes'!BU134))</f>
        <v>0.82</v>
      </c>
      <c r="AI193">
        <f>(0)</f>
        <v>0</v>
      </c>
      <c r="AJ193">
        <f>(AS193)</f>
        <v>0</v>
      </c>
      <c r="AK193">
        <v>474.11990000000003</v>
      </c>
      <c r="AL193">
        <v>0</v>
      </c>
      <c r="AM193">
        <v>0</v>
      </c>
      <c r="AN193">
        <v>0</v>
      </c>
      <c r="AO193">
        <v>474.11990000000003</v>
      </c>
      <c r="AP193">
        <v>0</v>
      </c>
      <c r="AQ193">
        <v>0.82</v>
      </c>
      <c r="AR193">
        <v>0</v>
      </c>
      <c r="AS193">
        <v>0</v>
      </c>
      <c r="AT193">
        <v>74</v>
      </c>
      <c r="AU193">
        <v>36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222</v>
      </c>
      <c r="BM193">
        <v>200001</v>
      </c>
      <c r="BN193">
        <v>0</v>
      </c>
      <c r="BO193" t="s">
        <v>3</v>
      </c>
      <c r="BP193">
        <v>0</v>
      </c>
      <c r="BQ193">
        <v>4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74</v>
      </c>
      <c r="CA193">
        <v>36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>(P193+Q193+S193+R193)</f>
        <v>1896.48</v>
      </c>
      <c r="CQ193">
        <f>SUMIF(SmtRes!AQ133:'SmtRes'!AQ134,"=1",SmtRes!AA133:'SmtRes'!AA134)</f>
        <v>0</v>
      </c>
      <c r="CR193">
        <f>SUMIF(SmtRes!AQ133:'SmtRes'!AQ134,"=1",SmtRes!AB133:'SmtRes'!AB134)</f>
        <v>0</v>
      </c>
      <c r="CS193">
        <f>SUMIF(SmtRes!AQ133:'SmtRes'!AQ134,"=1",SmtRes!AC133:'SmtRes'!AC134)</f>
        <v>0</v>
      </c>
      <c r="CT193">
        <f>SUMIF(SmtRes!AQ133:'SmtRes'!AQ134,"=1",SmtRes!AD133:'SmtRes'!AD134)</f>
        <v>1156.3900000000001</v>
      </c>
      <c r="CU193">
        <f>AG193</f>
        <v>0</v>
      </c>
      <c r="CV193">
        <f>SUMIF(SmtRes!AQ133:'SmtRes'!AQ134,"=1",SmtRes!BU133:'SmtRes'!BU134)</f>
        <v>0.82</v>
      </c>
      <c r="CW193">
        <f>SUMIF(SmtRes!AQ133:'SmtRes'!AQ134,"=1",SmtRes!BV133:'SmtRes'!BV134)</f>
        <v>0</v>
      </c>
      <c r="CX193">
        <f>AJ193</f>
        <v>0</v>
      </c>
      <c r="CY193">
        <f>(((S193+R193)*AT193)/100)</f>
        <v>1403.3951999999999</v>
      </c>
      <c r="CZ193">
        <f>(((S193+R193)*AU193)/100)</f>
        <v>682.7328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126</v>
      </c>
      <c r="DW193" t="s">
        <v>126</v>
      </c>
      <c r="DX193">
        <v>1</v>
      </c>
      <c r="DZ193" t="s">
        <v>3</v>
      </c>
      <c r="EA193" t="s">
        <v>3</v>
      </c>
      <c r="EB193" t="s">
        <v>3</v>
      </c>
      <c r="EC193" t="s">
        <v>3</v>
      </c>
      <c r="EE193">
        <v>60393238</v>
      </c>
      <c r="EF193">
        <v>4</v>
      </c>
      <c r="EG193" t="s">
        <v>218</v>
      </c>
      <c r="EH193">
        <v>83</v>
      </c>
      <c r="EI193" t="s">
        <v>218</v>
      </c>
      <c r="EJ193">
        <v>4</v>
      </c>
      <c r="EK193">
        <v>200001</v>
      </c>
      <c r="EL193" t="s">
        <v>223</v>
      </c>
      <c r="EM193" t="s">
        <v>224</v>
      </c>
      <c r="EO193" t="s">
        <v>3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0.82</v>
      </c>
      <c r="EX193">
        <v>0</v>
      </c>
      <c r="EY193">
        <v>0</v>
      </c>
      <c r="FQ193">
        <v>0</v>
      </c>
      <c r="FR193">
        <f>ROUND(IF(BI193=3,GM193,0),2)</f>
        <v>0</v>
      </c>
      <c r="FS193">
        <v>0</v>
      </c>
      <c r="FX193">
        <v>74</v>
      </c>
      <c r="FY193">
        <v>36</v>
      </c>
      <c r="GA193" t="s">
        <v>3</v>
      </c>
      <c r="GD193">
        <v>1</v>
      </c>
      <c r="GF193">
        <v>754195476</v>
      </c>
      <c r="GG193">
        <v>2</v>
      </c>
      <c r="GH193">
        <v>1</v>
      </c>
      <c r="GI193">
        <v>-2</v>
      </c>
      <c r="GJ193">
        <v>0</v>
      </c>
      <c r="GK193">
        <v>0</v>
      </c>
      <c r="GL193">
        <f>ROUND(IF(AND(BH193=3,BI193=3,FS193&lt;&gt;0),P193,0),2)</f>
        <v>0</v>
      </c>
      <c r="GM193">
        <f>ROUND(O193+X193+Y193,2)+GX193</f>
        <v>3982.61</v>
      </c>
      <c r="GN193">
        <f>IF(OR(BI193=0,BI193=1),GM193-GX193,0)</f>
        <v>0</v>
      </c>
      <c r="GO193">
        <f>IF(BI193=2,GM193-GX193,0)</f>
        <v>0</v>
      </c>
      <c r="GP193">
        <f>IF(BI193=4,GM193-GX193,0)</f>
        <v>3982.61</v>
      </c>
      <c r="GR193">
        <v>0</v>
      </c>
      <c r="GS193">
        <v>0</v>
      </c>
      <c r="GT193">
        <v>0</v>
      </c>
      <c r="GU193" t="s">
        <v>3</v>
      </c>
      <c r="GV193">
        <f>ROUND((GT193),6)</f>
        <v>0</v>
      </c>
      <c r="GW193">
        <v>1</v>
      </c>
      <c r="GX193">
        <f>ROUND(HC193*I193,2)</f>
        <v>0</v>
      </c>
      <c r="HA193">
        <v>0</v>
      </c>
      <c r="HB193">
        <v>0</v>
      </c>
      <c r="HC193">
        <f>GV193*GW193</f>
        <v>0</v>
      </c>
      <c r="HE193" t="s">
        <v>3</v>
      </c>
      <c r="HF193" t="s">
        <v>3</v>
      </c>
      <c r="HM193" t="s">
        <v>3</v>
      </c>
      <c r="HN193" t="s">
        <v>225</v>
      </c>
      <c r="HO193" t="s">
        <v>226</v>
      </c>
      <c r="HP193" t="s">
        <v>218</v>
      </c>
      <c r="HQ193" t="s">
        <v>218</v>
      </c>
      <c r="IK193">
        <v>0</v>
      </c>
    </row>
    <row r="194" spans="1:245" x14ac:dyDescent="0.2">
      <c r="A194">
        <v>17</v>
      </c>
      <c r="B194">
        <v>1</v>
      </c>
      <c r="C194">
        <f>ROW(SmtRes!A136)</f>
        <v>136</v>
      </c>
      <c r="D194">
        <f>ROW(EtalonRes!A136)</f>
        <v>136</v>
      </c>
      <c r="E194" t="s">
        <v>227</v>
      </c>
      <c r="F194" t="s">
        <v>228</v>
      </c>
      <c r="G194" t="s">
        <v>229</v>
      </c>
      <c r="H194" t="s">
        <v>126</v>
      </c>
      <c r="I194">
        <v>4</v>
      </c>
      <c r="J194">
        <v>0</v>
      </c>
      <c r="K194">
        <v>4</v>
      </c>
      <c r="O194">
        <f>ROUND(CP194,2)</f>
        <v>740.09</v>
      </c>
      <c r="P194">
        <f>SUMIF(SmtRes!AQ135:'SmtRes'!AQ136,"=1",SmtRes!DF135:'SmtRes'!DF136)</f>
        <v>0</v>
      </c>
      <c r="Q194">
        <f>SUMIF(SmtRes!AQ135:'SmtRes'!AQ136,"=1",SmtRes!DG135:'SmtRes'!DG136)</f>
        <v>0</v>
      </c>
      <c r="R194">
        <f>SUMIF(SmtRes!AQ135:'SmtRes'!AQ136,"=1",SmtRes!DH135:'SmtRes'!DH136)</f>
        <v>0</v>
      </c>
      <c r="S194">
        <f>SUMIF(SmtRes!AQ135:'SmtRes'!AQ136,"=1",SmtRes!DI135:'SmtRes'!DI136)</f>
        <v>740.08999999999992</v>
      </c>
      <c r="T194">
        <f>ROUND(CU194*I194,2)</f>
        <v>0</v>
      </c>
      <c r="U194">
        <f>SUMIF(SmtRes!AQ135:'SmtRes'!AQ136,"=1",SmtRes!CV135:'SmtRes'!CV136)</f>
        <v>1.28</v>
      </c>
      <c r="V194">
        <f>SUMIF(SmtRes!AQ135:'SmtRes'!AQ136,"=1",SmtRes!CW135:'SmtRes'!CW136)</f>
        <v>0</v>
      </c>
      <c r="W194">
        <f>ROUND(CX194*I194,2)</f>
        <v>0</v>
      </c>
      <c r="X194">
        <f>ROUND(CY194,2)</f>
        <v>547.66999999999996</v>
      </c>
      <c r="Y194">
        <f>ROUND(CZ194,2)</f>
        <v>266.43</v>
      </c>
      <c r="AA194">
        <v>61635504</v>
      </c>
      <c r="AB194">
        <f>ROUND((AC194+AD194+AF194),6)</f>
        <v>185.0224</v>
      </c>
      <c r="AC194">
        <f>ROUND((0),6)</f>
        <v>0</v>
      </c>
      <c r="AD194">
        <f>ROUND((((0)-(0))+AE194),6)</f>
        <v>0</v>
      </c>
      <c r="AE194">
        <f>ROUND((0),6)</f>
        <v>0</v>
      </c>
      <c r="AF194">
        <f>ROUND((SUM(SmtRes!BT135:'SmtRes'!BT136)),6)</f>
        <v>185.0224</v>
      </c>
      <c r="AG194">
        <f>ROUND((AP194),6)</f>
        <v>0</v>
      </c>
      <c r="AH194">
        <f>(SUM(SmtRes!BU135:'SmtRes'!BU136))</f>
        <v>0.32</v>
      </c>
      <c r="AI194">
        <f>(0)</f>
        <v>0</v>
      </c>
      <c r="AJ194">
        <f>(AS194)</f>
        <v>0</v>
      </c>
      <c r="AK194">
        <v>185.0224</v>
      </c>
      <c r="AL194">
        <v>0</v>
      </c>
      <c r="AM194">
        <v>0</v>
      </c>
      <c r="AN194">
        <v>0</v>
      </c>
      <c r="AO194">
        <v>185.0224</v>
      </c>
      <c r="AP194">
        <v>0</v>
      </c>
      <c r="AQ194">
        <v>0.32</v>
      </c>
      <c r="AR194">
        <v>0</v>
      </c>
      <c r="AS194">
        <v>0</v>
      </c>
      <c r="AT194">
        <v>74</v>
      </c>
      <c r="AU194">
        <v>36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230</v>
      </c>
      <c r="BM194">
        <v>200001</v>
      </c>
      <c r="BN194">
        <v>0</v>
      </c>
      <c r="BO194" t="s">
        <v>3</v>
      </c>
      <c r="BP194">
        <v>0</v>
      </c>
      <c r="BQ194">
        <v>4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74</v>
      </c>
      <c r="CA194">
        <v>36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>(P194+Q194+S194+R194)</f>
        <v>740.08999999999992</v>
      </c>
      <c r="CQ194">
        <f>SUMIF(SmtRes!AQ135:'SmtRes'!AQ136,"=1",SmtRes!AA135:'SmtRes'!AA136)</f>
        <v>0</v>
      </c>
      <c r="CR194">
        <f>SUMIF(SmtRes!AQ135:'SmtRes'!AQ136,"=1",SmtRes!AB135:'SmtRes'!AB136)</f>
        <v>0</v>
      </c>
      <c r="CS194">
        <f>SUMIF(SmtRes!AQ135:'SmtRes'!AQ136,"=1",SmtRes!AC135:'SmtRes'!AC136)</f>
        <v>0</v>
      </c>
      <c r="CT194">
        <f>SUMIF(SmtRes!AQ135:'SmtRes'!AQ136,"=1",SmtRes!AD135:'SmtRes'!AD136)</f>
        <v>1156.3900000000001</v>
      </c>
      <c r="CU194">
        <f>AG194</f>
        <v>0</v>
      </c>
      <c r="CV194">
        <f>SUMIF(SmtRes!AQ135:'SmtRes'!AQ136,"=1",SmtRes!BU135:'SmtRes'!BU136)</f>
        <v>0.32</v>
      </c>
      <c r="CW194">
        <f>SUMIF(SmtRes!AQ135:'SmtRes'!AQ136,"=1",SmtRes!BV135:'SmtRes'!BV136)</f>
        <v>0</v>
      </c>
      <c r="CX194">
        <f>AJ194</f>
        <v>0</v>
      </c>
      <c r="CY194">
        <f>(((S194+R194)*AT194)/100)</f>
        <v>547.66660000000002</v>
      </c>
      <c r="CZ194">
        <f>(((S194+R194)*AU194)/100)</f>
        <v>266.43239999999997</v>
      </c>
      <c r="DC194" t="s">
        <v>3</v>
      </c>
      <c r="DD194" t="s">
        <v>3</v>
      </c>
      <c r="DE194" t="s">
        <v>3</v>
      </c>
      <c r="DF194" t="s">
        <v>3</v>
      </c>
      <c r="DG194" t="s">
        <v>3</v>
      </c>
      <c r="DH194" t="s">
        <v>3</v>
      </c>
      <c r="DI194" t="s">
        <v>3</v>
      </c>
      <c r="DJ194" t="s">
        <v>3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126</v>
      </c>
      <c r="DW194" t="s">
        <v>126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60393238</v>
      </c>
      <c r="EF194">
        <v>4</v>
      </c>
      <c r="EG194" t="s">
        <v>218</v>
      </c>
      <c r="EH194">
        <v>83</v>
      </c>
      <c r="EI194" t="s">
        <v>218</v>
      </c>
      <c r="EJ194">
        <v>4</v>
      </c>
      <c r="EK194">
        <v>200001</v>
      </c>
      <c r="EL194" t="s">
        <v>223</v>
      </c>
      <c r="EM194" t="s">
        <v>224</v>
      </c>
      <c r="EO194" t="s">
        <v>3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0.32</v>
      </c>
      <c r="EX194">
        <v>0</v>
      </c>
      <c r="EY194">
        <v>0</v>
      </c>
      <c r="FQ194">
        <v>0</v>
      </c>
      <c r="FR194">
        <f>ROUND(IF(BI194=3,GM194,0),2)</f>
        <v>0</v>
      </c>
      <c r="FS194">
        <v>0</v>
      </c>
      <c r="FX194">
        <v>74</v>
      </c>
      <c r="FY194">
        <v>36</v>
      </c>
      <c r="GA194" t="s">
        <v>3</v>
      </c>
      <c r="GD194">
        <v>1</v>
      </c>
      <c r="GF194">
        <v>-439615818</v>
      </c>
      <c r="GG194">
        <v>2</v>
      </c>
      <c r="GH194">
        <v>1</v>
      </c>
      <c r="GI194">
        <v>-2</v>
      </c>
      <c r="GJ194">
        <v>0</v>
      </c>
      <c r="GK194">
        <v>0</v>
      </c>
      <c r="GL194">
        <f>ROUND(IF(AND(BH194=3,BI194=3,FS194&lt;&gt;0),P194,0),2)</f>
        <v>0</v>
      </c>
      <c r="GM194">
        <f>ROUND(O194+X194+Y194,2)+GX194</f>
        <v>1554.19</v>
      </c>
      <c r="GN194">
        <f>IF(OR(BI194=0,BI194=1),GM194-GX194,0)</f>
        <v>0</v>
      </c>
      <c r="GO194">
        <f>IF(BI194=2,GM194-GX194,0)</f>
        <v>0</v>
      </c>
      <c r="GP194">
        <f>IF(BI194=4,GM194-GX194,0)</f>
        <v>1554.19</v>
      </c>
      <c r="GR194">
        <v>0</v>
      </c>
      <c r="GS194">
        <v>0</v>
      </c>
      <c r="GT194">
        <v>0</v>
      </c>
      <c r="GU194" t="s">
        <v>3</v>
      </c>
      <c r="GV194">
        <f>ROUND((GT194),6)</f>
        <v>0</v>
      </c>
      <c r="GW194">
        <v>1</v>
      </c>
      <c r="GX194">
        <f>ROUND(HC194*I194,2)</f>
        <v>0</v>
      </c>
      <c r="HA194">
        <v>0</v>
      </c>
      <c r="HB194">
        <v>0</v>
      </c>
      <c r="HC194">
        <f>GV194*GW194</f>
        <v>0</v>
      </c>
      <c r="HE194" t="s">
        <v>3</v>
      </c>
      <c r="HF194" t="s">
        <v>3</v>
      </c>
      <c r="HM194" t="s">
        <v>3</v>
      </c>
      <c r="HN194" t="s">
        <v>225</v>
      </c>
      <c r="HO194" t="s">
        <v>226</v>
      </c>
      <c r="HP194" t="s">
        <v>218</v>
      </c>
      <c r="HQ194" t="s">
        <v>218</v>
      </c>
      <c r="IK194">
        <v>0</v>
      </c>
    </row>
    <row r="196" spans="1:245" x14ac:dyDescent="0.2">
      <c r="A196" s="2">
        <v>51</v>
      </c>
      <c r="B196" s="2">
        <f>B189</f>
        <v>1</v>
      </c>
      <c r="C196" s="2">
        <f>A189</f>
        <v>4</v>
      </c>
      <c r="D196" s="2">
        <f>ROW(A189)</f>
        <v>189</v>
      </c>
      <c r="E196" s="2"/>
      <c r="F196" s="2" t="str">
        <f>IF(F189&lt;&gt;"",F189,"")</f>
        <v>Новый раздел</v>
      </c>
      <c r="G196" s="2" t="str">
        <f>IF(G189&lt;&gt;"",G189,"")</f>
        <v>Пусконаладочные работы</v>
      </c>
      <c r="H196" s="2">
        <v>0</v>
      </c>
      <c r="I196" s="2"/>
      <c r="J196" s="2"/>
      <c r="K196" s="2"/>
      <c r="L196" s="2"/>
      <c r="M196" s="2"/>
      <c r="N196" s="2"/>
      <c r="O196" s="2">
        <f t="shared" ref="O196:T196" si="112">ROUND(AB196,2)</f>
        <v>2636.57</v>
      </c>
      <c r="P196" s="2">
        <f t="shared" si="112"/>
        <v>0</v>
      </c>
      <c r="Q196" s="2">
        <f t="shared" si="112"/>
        <v>0</v>
      </c>
      <c r="R196" s="2">
        <f t="shared" si="112"/>
        <v>0</v>
      </c>
      <c r="S196" s="2">
        <f t="shared" si="112"/>
        <v>2636.57</v>
      </c>
      <c r="T196" s="2">
        <f t="shared" si="112"/>
        <v>0</v>
      </c>
      <c r="U196" s="2">
        <f>AH196</f>
        <v>4.5599999999999996</v>
      </c>
      <c r="V196" s="2">
        <f>AI196</f>
        <v>0</v>
      </c>
      <c r="W196" s="2">
        <f>ROUND(AJ196,2)</f>
        <v>0</v>
      </c>
      <c r="X196" s="2">
        <f>ROUND(AK196,2)</f>
        <v>1951.07</v>
      </c>
      <c r="Y196" s="2">
        <f>ROUND(AL196,2)</f>
        <v>949.16</v>
      </c>
      <c r="Z196" s="2"/>
      <c r="AA196" s="2"/>
      <c r="AB196" s="2">
        <f>ROUND(SUMIF(AA193:AA194,"=61635504",O193:O194),2)</f>
        <v>2636.57</v>
      </c>
      <c r="AC196" s="2">
        <f>ROUND(SUMIF(AA193:AA194,"=61635504",P193:P194),2)</f>
        <v>0</v>
      </c>
      <c r="AD196" s="2">
        <f>ROUND(SUMIF(AA193:AA194,"=61635504",Q193:Q194),2)</f>
        <v>0</v>
      </c>
      <c r="AE196" s="2">
        <f>ROUND(SUMIF(AA193:AA194,"=61635504",R193:R194),2)</f>
        <v>0</v>
      </c>
      <c r="AF196" s="2">
        <f>ROUND(SUMIF(AA193:AA194,"=61635504",S193:S194),2)</f>
        <v>2636.57</v>
      </c>
      <c r="AG196" s="2">
        <f>ROUND(SUMIF(AA193:AA194,"=61635504",T193:T194),2)</f>
        <v>0</v>
      </c>
      <c r="AH196" s="2">
        <f>SUMIF(AA193:AA194,"=61635504",U193:U194)</f>
        <v>4.5599999999999996</v>
      </c>
      <c r="AI196" s="2">
        <f>SUMIF(AA193:AA194,"=61635504",V193:V194)</f>
        <v>0</v>
      </c>
      <c r="AJ196" s="2">
        <f>ROUND(SUMIF(AA193:AA194,"=61635504",W193:W194),2)</f>
        <v>0</v>
      </c>
      <c r="AK196" s="2">
        <f>ROUND(SUMIF(AA193:AA194,"=61635504",X193:X194),2)</f>
        <v>1951.07</v>
      </c>
      <c r="AL196" s="2">
        <f>ROUND(SUMIF(AA193:AA194,"=61635504",Y193:Y194),2)</f>
        <v>949.16</v>
      </c>
      <c r="AM196" s="2"/>
      <c r="AN196" s="2"/>
      <c r="AO196" s="2">
        <f t="shared" ref="AO196:BD196" si="113">ROUND(BX196,2)</f>
        <v>0</v>
      </c>
      <c r="AP196" s="2">
        <f t="shared" si="113"/>
        <v>0</v>
      </c>
      <c r="AQ196" s="2">
        <f t="shared" si="113"/>
        <v>0</v>
      </c>
      <c r="AR196" s="2">
        <f t="shared" si="113"/>
        <v>5536.8</v>
      </c>
      <c r="AS196" s="2">
        <f t="shared" si="113"/>
        <v>0</v>
      </c>
      <c r="AT196" s="2">
        <f t="shared" si="113"/>
        <v>0</v>
      </c>
      <c r="AU196" s="2">
        <f t="shared" si="113"/>
        <v>5536.8</v>
      </c>
      <c r="AV196" s="2">
        <f t="shared" si="113"/>
        <v>0</v>
      </c>
      <c r="AW196" s="2">
        <f t="shared" si="113"/>
        <v>0</v>
      </c>
      <c r="AX196" s="2">
        <f t="shared" si="113"/>
        <v>0</v>
      </c>
      <c r="AY196" s="2">
        <f t="shared" si="113"/>
        <v>0</v>
      </c>
      <c r="AZ196" s="2">
        <f t="shared" si="113"/>
        <v>0</v>
      </c>
      <c r="BA196" s="2">
        <f t="shared" si="113"/>
        <v>0</v>
      </c>
      <c r="BB196" s="2">
        <f t="shared" si="113"/>
        <v>0</v>
      </c>
      <c r="BC196" s="2">
        <f t="shared" si="113"/>
        <v>0</v>
      </c>
      <c r="BD196" s="2">
        <f t="shared" si="113"/>
        <v>0</v>
      </c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>
        <f>ROUND(SUMIF(AA193:AA194,"=61635504",FQ193:FQ194),2)</f>
        <v>0</v>
      </c>
      <c r="BY196" s="2">
        <f>ROUND(SUMIF(AA193:AA194,"=61635504",FR193:FR194),2)</f>
        <v>0</v>
      </c>
      <c r="BZ196" s="2">
        <f>ROUND(SUMIF(AA193:AA194,"=61635504",GL193:GL194),2)</f>
        <v>0</v>
      </c>
      <c r="CA196" s="2">
        <f>ROUND(SUMIF(AA193:AA194,"=61635504",GM193:GM194),2)</f>
        <v>5536.8</v>
      </c>
      <c r="CB196" s="2">
        <f>ROUND(SUMIF(AA193:AA194,"=61635504",GN193:GN194),2)</f>
        <v>0</v>
      </c>
      <c r="CC196" s="2">
        <f>ROUND(SUMIF(AA193:AA194,"=61635504",GO193:GO194),2)</f>
        <v>0</v>
      </c>
      <c r="CD196" s="2">
        <f>ROUND(SUMIF(AA193:AA194,"=61635504",GP193:GP194),2)</f>
        <v>5536.8</v>
      </c>
      <c r="CE196" s="2">
        <f>AC196-BX196</f>
        <v>0</v>
      </c>
      <c r="CF196" s="2">
        <f>AC196-BY196</f>
        <v>0</v>
      </c>
      <c r="CG196" s="2">
        <f>BX196-BZ196</f>
        <v>0</v>
      </c>
      <c r="CH196" s="2">
        <f>AC196-BX196-BY196+BZ196</f>
        <v>0</v>
      </c>
      <c r="CI196" s="2">
        <f>BY196-BZ196</f>
        <v>0</v>
      </c>
      <c r="CJ196" s="2">
        <f>ROUND(SUMIF(AA193:AA194,"=61635504",GX193:GX194),2)</f>
        <v>0</v>
      </c>
      <c r="CK196" s="2">
        <f>ROUND(SUMIF(AA193:AA194,"=61635504",GY193:GY194),2)</f>
        <v>0</v>
      </c>
      <c r="CL196" s="2">
        <f>ROUND(SUMIF(AA193:AA194,"=61635504",GZ193:GZ194),2)</f>
        <v>0</v>
      </c>
      <c r="CM196" s="2">
        <f>ROUND(SUMIF(AA193:AA194,"=61635504",HD193:HD194),2)</f>
        <v>0</v>
      </c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>
        <v>0</v>
      </c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201</v>
      </c>
      <c r="F198" s="4">
        <f>ROUND(Source!O196,O198)</f>
        <v>2636.57</v>
      </c>
      <c r="G198" s="4" t="s">
        <v>52</v>
      </c>
      <c r="H198" s="4" t="s">
        <v>53</v>
      </c>
      <c r="I198" s="4"/>
      <c r="J198" s="4"/>
      <c r="K198" s="4">
        <v>201</v>
      </c>
      <c r="L198" s="4">
        <v>1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2636.5699999999997</v>
      </c>
      <c r="X198" s="4">
        <v>1</v>
      </c>
      <c r="Y198" s="4">
        <v>2636.5699999999997</v>
      </c>
      <c r="Z198" s="4"/>
      <c r="AA198" s="4"/>
      <c r="AB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202</v>
      </c>
      <c r="F199" s="4">
        <f>ROUND(Source!P196,O199)</f>
        <v>0</v>
      </c>
      <c r="G199" s="4" t="s">
        <v>54</v>
      </c>
      <c r="H199" s="4" t="s">
        <v>55</v>
      </c>
      <c r="I199" s="4"/>
      <c r="J199" s="4"/>
      <c r="K199" s="4">
        <v>202</v>
      </c>
      <c r="L199" s="4">
        <v>2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222</v>
      </c>
      <c r="F200" s="4">
        <f>ROUND(Source!AO196,O200)</f>
        <v>0</v>
      </c>
      <c r="G200" s="4" t="s">
        <v>56</v>
      </c>
      <c r="H200" s="4" t="s">
        <v>57</v>
      </c>
      <c r="I200" s="4"/>
      <c r="J200" s="4"/>
      <c r="K200" s="4">
        <v>222</v>
      </c>
      <c r="L200" s="4">
        <v>3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225</v>
      </c>
      <c r="F201" s="4">
        <f>ROUND(Source!AV196,O201)</f>
        <v>0</v>
      </c>
      <c r="G201" s="4" t="s">
        <v>58</v>
      </c>
      <c r="H201" s="4" t="s">
        <v>59</v>
      </c>
      <c r="I201" s="4"/>
      <c r="J201" s="4"/>
      <c r="K201" s="4">
        <v>225</v>
      </c>
      <c r="L201" s="4">
        <v>4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226</v>
      </c>
      <c r="F202" s="4">
        <f>ROUND(Source!AW196,O202)</f>
        <v>0</v>
      </c>
      <c r="G202" s="4" t="s">
        <v>60</v>
      </c>
      <c r="H202" s="4" t="s">
        <v>61</v>
      </c>
      <c r="I202" s="4"/>
      <c r="J202" s="4"/>
      <c r="K202" s="4">
        <v>226</v>
      </c>
      <c r="L202" s="4">
        <v>5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227</v>
      </c>
      <c r="F203" s="4">
        <f>ROUND(Source!AX196,O203)</f>
        <v>0</v>
      </c>
      <c r="G203" s="4" t="s">
        <v>62</v>
      </c>
      <c r="H203" s="4" t="s">
        <v>63</v>
      </c>
      <c r="I203" s="4"/>
      <c r="J203" s="4"/>
      <c r="K203" s="4">
        <v>227</v>
      </c>
      <c r="L203" s="4">
        <v>6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228</v>
      </c>
      <c r="F204" s="4">
        <f>ROUND(Source!AY196,O204)</f>
        <v>0</v>
      </c>
      <c r="G204" s="4" t="s">
        <v>64</v>
      </c>
      <c r="H204" s="4" t="s">
        <v>65</v>
      </c>
      <c r="I204" s="4"/>
      <c r="J204" s="4"/>
      <c r="K204" s="4">
        <v>228</v>
      </c>
      <c r="L204" s="4">
        <v>7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216</v>
      </c>
      <c r="F205" s="4">
        <f>ROUND(Source!AP196,O205)</f>
        <v>0</v>
      </c>
      <c r="G205" s="4" t="s">
        <v>66</v>
      </c>
      <c r="H205" s="4" t="s">
        <v>67</v>
      </c>
      <c r="I205" s="4"/>
      <c r="J205" s="4"/>
      <c r="K205" s="4">
        <v>216</v>
      </c>
      <c r="L205" s="4">
        <v>8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223</v>
      </c>
      <c r="F206" s="4">
        <f>ROUND(Source!AQ196,O206)</f>
        <v>0</v>
      </c>
      <c r="G206" s="4" t="s">
        <v>68</v>
      </c>
      <c r="H206" s="4" t="s">
        <v>69</v>
      </c>
      <c r="I206" s="4"/>
      <c r="J206" s="4"/>
      <c r="K206" s="4">
        <v>223</v>
      </c>
      <c r="L206" s="4">
        <v>9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229</v>
      </c>
      <c r="F207" s="4">
        <f>ROUND(Source!AZ196,O207)</f>
        <v>0</v>
      </c>
      <c r="G207" s="4" t="s">
        <v>70</v>
      </c>
      <c r="H207" s="4" t="s">
        <v>71</v>
      </c>
      <c r="I207" s="4"/>
      <c r="J207" s="4"/>
      <c r="K207" s="4">
        <v>229</v>
      </c>
      <c r="L207" s="4">
        <v>10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203</v>
      </c>
      <c r="F208" s="4">
        <f>ROUND(Source!Q196,O208)</f>
        <v>0</v>
      </c>
      <c r="G208" s="4" t="s">
        <v>72</v>
      </c>
      <c r="H208" s="4" t="s">
        <v>73</v>
      </c>
      <c r="I208" s="4"/>
      <c r="J208" s="4"/>
      <c r="K208" s="4">
        <v>203</v>
      </c>
      <c r="L208" s="4">
        <v>11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231</v>
      </c>
      <c r="F209" s="4">
        <f>ROUND(Source!BB196,O209)</f>
        <v>0</v>
      </c>
      <c r="G209" s="4" t="s">
        <v>74</v>
      </c>
      <c r="H209" s="4" t="s">
        <v>75</v>
      </c>
      <c r="I209" s="4"/>
      <c r="J209" s="4"/>
      <c r="K209" s="4">
        <v>231</v>
      </c>
      <c r="L209" s="4">
        <v>12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204</v>
      </c>
      <c r="F210" s="4">
        <f>ROUND(Source!R196,O210)</f>
        <v>0</v>
      </c>
      <c r="G210" s="4" t="s">
        <v>76</v>
      </c>
      <c r="H210" s="4" t="s">
        <v>77</v>
      </c>
      <c r="I210" s="4"/>
      <c r="J210" s="4"/>
      <c r="K210" s="4">
        <v>204</v>
      </c>
      <c r="L210" s="4">
        <v>13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205</v>
      </c>
      <c r="F211" s="4">
        <f>ROUND(Source!S196,O211)</f>
        <v>2636.57</v>
      </c>
      <c r="G211" s="4" t="s">
        <v>78</v>
      </c>
      <c r="H211" s="4" t="s">
        <v>79</v>
      </c>
      <c r="I211" s="4"/>
      <c r="J211" s="4"/>
      <c r="K211" s="4">
        <v>205</v>
      </c>
      <c r="L211" s="4">
        <v>14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2636.5699999999997</v>
      </c>
      <c r="X211" s="4">
        <v>1</v>
      </c>
      <c r="Y211" s="4">
        <v>2636.5699999999997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232</v>
      </c>
      <c r="F212" s="4">
        <f>ROUND(Source!BC196,O212)</f>
        <v>0</v>
      </c>
      <c r="G212" s="4" t="s">
        <v>80</v>
      </c>
      <c r="H212" s="4" t="s">
        <v>81</v>
      </c>
      <c r="I212" s="4"/>
      <c r="J212" s="4"/>
      <c r="K212" s="4">
        <v>232</v>
      </c>
      <c r="L212" s="4">
        <v>15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214</v>
      </c>
      <c r="F213" s="4">
        <f>ROUND(Source!AS196,O213)</f>
        <v>0</v>
      </c>
      <c r="G213" s="4" t="s">
        <v>82</v>
      </c>
      <c r="H213" s="4" t="s">
        <v>83</v>
      </c>
      <c r="I213" s="4"/>
      <c r="J213" s="4"/>
      <c r="K213" s="4">
        <v>214</v>
      </c>
      <c r="L213" s="4">
        <v>16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215</v>
      </c>
      <c r="F214" s="4">
        <f>ROUND(Source!AT196,O214)</f>
        <v>0</v>
      </c>
      <c r="G214" s="4" t="s">
        <v>84</v>
      </c>
      <c r="H214" s="4" t="s">
        <v>85</v>
      </c>
      <c r="I214" s="4"/>
      <c r="J214" s="4"/>
      <c r="K214" s="4">
        <v>215</v>
      </c>
      <c r="L214" s="4">
        <v>17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217</v>
      </c>
      <c r="F215" s="4">
        <f>ROUND(Source!AU196,O215)</f>
        <v>5536.8</v>
      </c>
      <c r="G215" s="4" t="s">
        <v>86</v>
      </c>
      <c r="H215" s="4" t="s">
        <v>87</v>
      </c>
      <c r="I215" s="4"/>
      <c r="J215" s="4"/>
      <c r="K215" s="4">
        <v>217</v>
      </c>
      <c r="L215" s="4">
        <v>18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5536.8</v>
      </c>
      <c r="X215" s="4">
        <v>1</v>
      </c>
      <c r="Y215" s="4">
        <v>5536.8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230</v>
      </c>
      <c r="F216" s="4">
        <f>ROUND(Source!BA196,O216)</f>
        <v>0</v>
      </c>
      <c r="G216" s="4" t="s">
        <v>88</v>
      </c>
      <c r="H216" s="4" t="s">
        <v>89</v>
      </c>
      <c r="I216" s="4"/>
      <c r="J216" s="4"/>
      <c r="K216" s="4">
        <v>230</v>
      </c>
      <c r="L216" s="4">
        <v>19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206</v>
      </c>
      <c r="F217" s="4">
        <f>ROUND(Source!T196,O217)</f>
        <v>0</v>
      </c>
      <c r="G217" s="4" t="s">
        <v>90</v>
      </c>
      <c r="H217" s="4" t="s">
        <v>91</v>
      </c>
      <c r="I217" s="4"/>
      <c r="J217" s="4"/>
      <c r="K217" s="4">
        <v>206</v>
      </c>
      <c r="L217" s="4">
        <v>20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207</v>
      </c>
      <c r="F218" s="4">
        <f>ROUND(Source!U196,O218)</f>
        <v>4.5599999999999996</v>
      </c>
      <c r="G218" s="4" t="s">
        <v>92</v>
      </c>
      <c r="H218" s="4" t="s">
        <v>93</v>
      </c>
      <c r="I218" s="4"/>
      <c r="J218" s="4"/>
      <c r="K218" s="4">
        <v>207</v>
      </c>
      <c r="L218" s="4">
        <v>21</v>
      </c>
      <c r="M218" s="4">
        <v>3</v>
      </c>
      <c r="N218" s="4" t="s">
        <v>3</v>
      </c>
      <c r="O218" s="4">
        <v>7</v>
      </c>
      <c r="P218" s="4"/>
      <c r="Q218" s="4"/>
      <c r="R218" s="4"/>
      <c r="S218" s="4"/>
      <c r="T218" s="4"/>
      <c r="U218" s="4"/>
      <c r="V218" s="4"/>
      <c r="W218" s="4">
        <v>4.5599999999999996</v>
      </c>
      <c r="X218" s="4">
        <v>1</v>
      </c>
      <c r="Y218" s="4">
        <v>4.5599999999999996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208</v>
      </c>
      <c r="F219" s="4">
        <f>ROUND(Source!V196,O219)</f>
        <v>0</v>
      </c>
      <c r="G219" s="4" t="s">
        <v>94</v>
      </c>
      <c r="H219" s="4" t="s">
        <v>95</v>
      </c>
      <c r="I219" s="4"/>
      <c r="J219" s="4"/>
      <c r="K219" s="4">
        <v>208</v>
      </c>
      <c r="L219" s="4">
        <v>22</v>
      </c>
      <c r="M219" s="4">
        <v>3</v>
      </c>
      <c r="N219" s="4" t="s">
        <v>3</v>
      </c>
      <c r="O219" s="4">
        <v>7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209</v>
      </c>
      <c r="F220" s="4">
        <f>ROUND(Source!W196,O220)</f>
        <v>0</v>
      </c>
      <c r="G220" s="4" t="s">
        <v>96</v>
      </c>
      <c r="H220" s="4" t="s">
        <v>97</v>
      </c>
      <c r="I220" s="4"/>
      <c r="J220" s="4"/>
      <c r="K220" s="4">
        <v>209</v>
      </c>
      <c r="L220" s="4">
        <v>23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233</v>
      </c>
      <c r="F221" s="4">
        <f>ROUND(Source!BD196,O221)</f>
        <v>0</v>
      </c>
      <c r="G221" s="4" t="s">
        <v>98</v>
      </c>
      <c r="H221" s="4" t="s">
        <v>99</v>
      </c>
      <c r="I221" s="4"/>
      <c r="J221" s="4"/>
      <c r="K221" s="4">
        <v>233</v>
      </c>
      <c r="L221" s="4">
        <v>24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210</v>
      </c>
      <c r="F222" s="4">
        <f>ROUND(Source!X196,O222)</f>
        <v>1951.07</v>
      </c>
      <c r="G222" s="4" t="s">
        <v>100</v>
      </c>
      <c r="H222" s="4" t="s">
        <v>101</v>
      </c>
      <c r="I222" s="4"/>
      <c r="J222" s="4"/>
      <c r="K222" s="4">
        <v>210</v>
      </c>
      <c r="L222" s="4">
        <v>25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1951.07</v>
      </c>
      <c r="X222" s="4">
        <v>1</v>
      </c>
      <c r="Y222" s="4">
        <v>1951.07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211</v>
      </c>
      <c r="F223" s="4">
        <f>ROUND(Source!Y196,O223)</f>
        <v>949.16</v>
      </c>
      <c r="G223" s="4" t="s">
        <v>102</v>
      </c>
      <c r="H223" s="4" t="s">
        <v>103</v>
      </c>
      <c r="I223" s="4"/>
      <c r="J223" s="4"/>
      <c r="K223" s="4">
        <v>211</v>
      </c>
      <c r="L223" s="4">
        <v>26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949.16</v>
      </c>
      <c r="X223" s="4">
        <v>1</v>
      </c>
      <c r="Y223" s="4">
        <v>949.16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224</v>
      </c>
      <c r="F224" s="4">
        <f>ROUND(Source!AR196,O224)</f>
        <v>5536.8</v>
      </c>
      <c r="G224" s="4" t="s">
        <v>104</v>
      </c>
      <c r="H224" s="4" t="s">
        <v>105</v>
      </c>
      <c r="I224" s="4"/>
      <c r="J224" s="4"/>
      <c r="K224" s="4">
        <v>224</v>
      </c>
      <c r="L224" s="4">
        <v>27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5536.7999999999993</v>
      </c>
      <c r="X224" s="4">
        <v>1</v>
      </c>
      <c r="Y224" s="4">
        <v>5536.7999999999993</v>
      </c>
      <c r="Z224" s="4"/>
      <c r="AA224" s="4"/>
      <c r="AB224" s="4"/>
    </row>
    <row r="226" spans="1:206" x14ac:dyDescent="0.2">
      <c r="A226" s="2">
        <v>51</v>
      </c>
      <c r="B226" s="2">
        <f>B20</f>
        <v>1</v>
      </c>
      <c r="C226" s="2">
        <f>A20</f>
        <v>3</v>
      </c>
      <c r="D226" s="2">
        <f>ROW(A20)</f>
        <v>20</v>
      </c>
      <c r="E226" s="2"/>
      <c r="F226" s="2" t="str">
        <f>IF(F20&lt;&gt;"",F20,"")</f>
        <v>Новая локальная смета</v>
      </c>
      <c r="G226" s="2" t="str">
        <f>IF(G20&lt;&gt;"",G20,"")</f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  <c r="H226" s="2">
        <v>0</v>
      </c>
      <c r="I226" s="2"/>
      <c r="J226" s="2"/>
      <c r="K226" s="2"/>
      <c r="L226" s="2"/>
      <c r="M226" s="2"/>
      <c r="N226" s="2"/>
      <c r="O226" s="2">
        <f t="shared" ref="O226:T226" si="114">ROUND(O32+O78+O119+O159+O196+AB226,2)</f>
        <v>237611.74</v>
      </c>
      <c r="P226" s="2">
        <f t="shared" si="114"/>
        <v>79691.899999999994</v>
      </c>
      <c r="Q226" s="2">
        <f t="shared" si="114"/>
        <v>68650.09</v>
      </c>
      <c r="R226" s="2">
        <f t="shared" si="114"/>
        <v>21590.560000000001</v>
      </c>
      <c r="S226" s="2">
        <f t="shared" si="114"/>
        <v>67679.19</v>
      </c>
      <c r="T226" s="2">
        <f t="shared" si="114"/>
        <v>0</v>
      </c>
      <c r="U226" s="2">
        <f>U32+U78+U119+U159+U196+AH226</f>
        <v>159.10935999999998</v>
      </c>
      <c r="V226" s="2">
        <f>V32+V78+V119+V159+V196+AI226</f>
        <v>39.298569999999998</v>
      </c>
      <c r="W226" s="2">
        <f>ROUND(W32+W78+W119+W159+W196+AJ226,2)</f>
        <v>0</v>
      </c>
      <c r="X226" s="2">
        <f>ROUND(X32+X78+X119+X159+X196+AK226,2)</f>
        <v>88436.68</v>
      </c>
      <c r="Y226" s="2">
        <f>ROUND(Y32+Y78+Y119+Y159+Y196+AL226,2)</f>
        <v>48053.760000000002</v>
      </c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>
        <f t="shared" ref="AO226:BD226" si="115">ROUND(AO32+AO78+AO119+AO159+AO196+BX226,2)</f>
        <v>0</v>
      </c>
      <c r="AP226" s="2">
        <f t="shared" si="115"/>
        <v>0</v>
      </c>
      <c r="AQ226" s="2">
        <f t="shared" si="115"/>
        <v>0</v>
      </c>
      <c r="AR226" s="2">
        <f t="shared" si="115"/>
        <v>386033.48</v>
      </c>
      <c r="AS226" s="2">
        <f t="shared" si="115"/>
        <v>138879.01999999999</v>
      </c>
      <c r="AT226" s="2">
        <f t="shared" si="115"/>
        <v>241617.66</v>
      </c>
      <c r="AU226" s="2">
        <f t="shared" si="115"/>
        <v>5536.8</v>
      </c>
      <c r="AV226" s="2">
        <f t="shared" si="115"/>
        <v>79691.899999999994</v>
      </c>
      <c r="AW226" s="2">
        <f t="shared" si="115"/>
        <v>79691.899999999994</v>
      </c>
      <c r="AX226" s="2">
        <f t="shared" si="115"/>
        <v>0</v>
      </c>
      <c r="AY226" s="2">
        <f t="shared" si="115"/>
        <v>79691.899999999994</v>
      </c>
      <c r="AZ226" s="2">
        <f t="shared" si="115"/>
        <v>0</v>
      </c>
      <c r="BA226" s="2">
        <f t="shared" si="115"/>
        <v>0</v>
      </c>
      <c r="BB226" s="2">
        <f t="shared" si="115"/>
        <v>0</v>
      </c>
      <c r="BC226" s="2">
        <f t="shared" si="115"/>
        <v>0</v>
      </c>
      <c r="BD226" s="2">
        <f t="shared" si="115"/>
        <v>11931.3</v>
      </c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>
        <v>0</v>
      </c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201</v>
      </c>
      <c r="F228" s="4">
        <f>ROUND(Source!O226,O228)</f>
        <v>237611.74</v>
      </c>
      <c r="G228" s="4" t="s">
        <v>52</v>
      </c>
      <c r="H228" s="4" t="s">
        <v>53</v>
      </c>
      <c r="I228" s="4"/>
      <c r="J228" s="4"/>
      <c r="K228" s="4">
        <v>201</v>
      </c>
      <c r="L228" s="4">
        <v>1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249543.04000000001</v>
      </c>
      <c r="X228" s="4">
        <v>1</v>
      </c>
      <c r="Y228" s="4">
        <v>249543.04000000001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202</v>
      </c>
      <c r="F229" s="4">
        <f>ROUND(Source!P226,O229)</f>
        <v>79691.899999999994</v>
      </c>
      <c r="G229" s="4" t="s">
        <v>54</v>
      </c>
      <c r="H229" s="4" t="s">
        <v>55</v>
      </c>
      <c r="I229" s="4"/>
      <c r="J229" s="4"/>
      <c r="K229" s="4">
        <v>202</v>
      </c>
      <c r="L229" s="4">
        <v>2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79691.899999999994</v>
      </c>
      <c r="X229" s="4">
        <v>1</v>
      </c>
      <c r="Y229" s="4">
        <v>79691.899999999994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222</v>
      </c>
      <c r="F230" s="4">
        <f>ROUND(Source!AO226,O230)</f>
        <v>0</v>
      </c>
      <c r="G230" s="4" t="s">
        <v>56</v>
      </c>
      <c r="H230" s="4" t="s">
        <v>57</v>
      </c>
      <c r="I230" s="4"/>
      <c r="J230" s="4"/>
      <c r="K230" s="4">
        <v>222</v>
      </c>
      <c r="L230" s="4">
        <v>3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225</v>
      </c>
      <c r="F231" s="4">
        <f>ROUND(Source!AV226,O231)</f>
        <v>79691.899999999994</v>
      </c>
      <c r="G231" s="4" t="s">
        <v>58</v>
      </c>
      <c r="H231" s="4" t="s">
        <v>59</v>
      </c>
      <c r="I231" s="4"/>
      <c r="J231" s="4"/>
      <c r="K231" s="4">
        <v>225</v>
      </c>
      <c r="L231" s="4">
        <v>4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79691.899999999994</v>
      </c>
      <c r="X231" s="4">
        <v>1</v>
      </c>
      <c r="Y231" s="4">
        <v>79691.899999999994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226</v>
      </c>
      <c r="F232" s="4">
        <f>ROUND(Source!AW226,O232)</f>
        <v>79691.899999999994</v>
      </c>
      <c r="G232" s="4" t="s">
        <v>60</v>
      </c>
      <c r="H232" s="4" t="s">
        <v>61</v>
      </c>
      <c r="I232" s="4"/>
      <c r="J232" s="4"/>
      <c r="K232" s="4">
        <v>226</v>
      </c>
      <c r="L232" s="4">
        <v>5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79691.899999999994</v>
      </c>
      <c r="X232" s="4">
        <v>1</v>
      </c>
      <c r="Y232" s="4">
        <v>79691.899999999994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227</v>
      </c>
      <c r="F233" s="4">
        <f>ROUND(Source!AX226,O233)</f>
        <v>0</v>
      </c>
      <c r="G233" s="4" t="s">
        <v>62</v>
      </c>
      <c r="H233" s="4" t="s">
        <v>63</v>
      </c>
      <c r="I233" s="4"/>
      <c r="J233" s="4"/>
      <c r="K233" s="4">
        <v>227</v>
      </c>
      <c r="L233" s="4">
        <v>6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228</v>
      </c>
      <c r="F234" s="4">
        <f>ROUND(Source!AY226,O234)</f>
        <v>79691.899999999994</v>
      </c>
      <c r="G234" s="4" t="s">
        <v>64</v>
      </c>
      <c r="H234" s="4" t="s">
        <v>65</v>
      </c>
      <c r="I234" s="4"/>
      <c r="J234" s="4"/>
      <c r="K234" s="4">
        <v>228</v>
      </c>
      <c r="L234" s="4">
        <v>7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79691.899999999994</v>
      </c>
      <c r="X234" s="4">
        <v>1</v>
      </c>
      <c r="Y234" s="4">
        <v>79691.899999999994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216</v>
      </c>
      <c r="F235" s="4">
        <f>ROUND(Source!AP226,O235)</f>
        <v>0</v>
      </c>
      <c r="G235" s="4" t="s">
        <v>66</v>
      </c>
      <c r="H235" s="4" t="s">
        <v>67</v>
      </c>
      <c r="I235" s="4"/>
      <c r="J235" s="4"/>
      <c r="K235" s="4">
        <v>216</v>
      </c>
      <c r="L235" s="4">
        <v>8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223</v>
      </c>
      <c r="F236" s="4">
        <f>ROUND(Source!AQ226,O236)</f>
        <v>0</v>
      </c>
      <c r="G236" s="4" t="s">
        <v>68</v>
      </c>
      <c r="H236" s="4" t="s">
        <v>69</v>
      </c>
      <c r="I236" s="4"/>
      <c r="J236" s="4"/>
      <c r="K236" s="4">
        <v>223</v>
      </c>
      <c r="L236" s="4">
        <v>9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229</v>
      </c>
      <c r="F237" s="4">
        <f>ROUND(Source!AZ226,O237)</f>
        <v>0</v>
      </c>
      <c r="G237" s="4" t="s">
        <v>70</v>
      </c>
      <c r="H237" s="4" t="s">
        <v>71</v>
      </c>
      <c r="I237" s="4"/>
      <c r="J237" s="4"/>
      <c r="K237" s="4">
        <v>229</v>
      </c>
      <c r="L237" s="4">
        <v>10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203</v>
      </c>
      <c r="F238" s="4">
        <f>ROUND(Source!Q226,O238)</f>
        <v>68650.09</v>
      </c>
      <c r="G238" s="4" t="s">
        <v>72</v>
      </c>
      <c r="H238" s="4" t="s">
        <v>73</v>
      </c>
      <c r="I238" s="4"/>
      <c r="J238" s="4"/>
      <c r="K238" s="4">
        <v>203</v>
      </c>
      <c r="L238" s="4">
        <v>11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68650.090000000011</v>
      </c>
      <c r="X238" s="4">
        <v>1</v>
      </c>
      <c r="Y238" s="4">
        <v>68650.090000000011</v>
      </c>
      <c r="Z238" s="4"/>
      <c r="AA238" s="4"/>
      <c r="AB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231</v>
      </c>
      <c r="F239" s="4">
        <f>ROUND(Source!BB226,O239)</f>
        <v>0</v>
      </c>
      <c r="G239" s="4" t="s">
        <v>74</v>
      </c>
      <c r="H239" s="4" t="s">
        <v>75</v>
      </c>
      <c r="I239" s="4"/>
      <c r="J239" s="4"/>
      <c r="K239" s="4">
        <v>231</v>
      </c>
      <c r="L239" s="4">
        <v>12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204</v>
      </c>
      <c r="F240" s="4">
        <f>ROUND(Source!R226,O240)</f>
        <v>21590.560000000001</v>
      </c>
      <c r="G240" s="4" t="s">
        <v>76</v>
      </c>
      <c r="H240" s="4" t="s">
        <v>77</v>
      </c>
      <c r="I240" s="4"/>
      <c r="J240" s="4"/>
      <c r="K240" s="4">
        <v>204</v>
      </c>
      <c r="L240" s="4">
        <v>13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21590.559999999998</v>
      </c>
      <c r="X240" s="4">
        <v>1</v>
      </c>
      <c r="Y240" s="4">
        <v>21590.559999999998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205</v>
      </c>
      <c r="F241" s="4">
        <f>ROUND(Source!S226,O241)</f>
        <v>67679.19</v>
      </c>
      <c r="G241" s="4" t="s">
        <v>78</v>
      </c>
      <c r="H241" s="4" t="s">
        <v>79</v>
      </c>
      <c r="I241" s="4"/>
      <c r="J241" s="4"/>
      <c r="K241" s="4">
        <v>205</v>
      </c>
      <c r="L241" s="4">
        <v>14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67679.19</v>
      </c>
      <c r="X241" s="4">
        <v>1</v>
      </c>
      <c r="Y241" s="4">
        <v>67679.19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232</v>
      </c>
      <c r="F242" s="4">
        <f>ROUND(Source!BC226,O242)</f>
        <v>0</v>
      </c>
      <c r="G242" s="4" t="s">
        <v>80</v>
      </c>
      <c r="H242" s="4" t="s">
        <v>81</v>
      </c>
      <c r="I242" s="4"/>
      <c r="J242" s="4"/>
      <c r="K242" s="4">
        <v>232</v>
      </c>
      <c r="L242" s="4">
        <v>15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214</v>
      </c>
      <c r="F243" s="4">
        <f>ROUND(Source!AS226,O243)</f>
        <v>138879.01999999999</v>
      </c>
      <c r="G243" s="4" t="s">
        <v>82</v>
      </c>
      <c r="H243" s="4" t="s">
        <v>83</v>
      </c>
      <c r="I243" s="4"/>
      <c r="J243" s="4"/>
      <c r="K243" s="4">
        <v>214</v>
      </c>
      <c r="L243" s="4">
        <v>16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138879.01999999999</v>
      </c>
      <c r="X243" s="4">
        <v>1</v>
      </c>
      <c r="Y243" s="4">
        <v>138879.01999999999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215</v>
      </c>
      <c r="F244" s="4">
        <f>ROUND(Source!AT226,O244)</f>
        <v>241617.66</v>
      </c>
      <c r="G244" s="4" t="s">
        <v>84</v>
      </c>
      <c r="H244" s="4" t="s">
        <v>85</v>
      </c>
      <c r="I244" s="4"/>
      <c r="J244" s="4"/>
      <c r="K244" s="4">
        <v>215</v>
      </c>
      <c r="L244" s="4">
        <v>17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241617.66</v>
      </c>
      <c r="X244" s="4">
        <v>1</v>
      </c>
      <c r="Y244" s="4">
        <v>241617.66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217</v>
      </c>
      <c r="F245" s="4">
        <f>ROUND(Source!AU226,O245)</f>
        <v>5536.8</v>
      </c>
      <c r="G245" s="4" t="s">
        <v>86</v>
      </c>
      <c r="H245" s="4" t="s">
        <v>87</v>
      </c>
      <c r="I245" s="4"/>
      <c r="J245" s="4"/>
      <c r="K245" s="4">
        <v>217</v>
      </c>
      <c r="L245" s="4">
        <v>18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5536.8</v>
      </c>
      <c r="X245" s="4">
        <v>1</v>
      </c>
      <c r="Y245" s="4">
        <v>5536.8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230</v>
      </c>
      <c r="F246" s="4">
        <f>ROUND(Source!BA226,O246)</f>
        <v>0</v>
      </c>
      <c r="G246" s="4" t="s">
        <v>88</v>
      </c>
      <c r="H246" s="4" t="s">
        <v>89</v>
      </c>
      <c r="I246" s="4"/>
      <c r="J246" s="4"/>
      <c r="K246" s="4">
        <v>230</v>
      </c>
      <c r="L246" s="4">
        <v>19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206</v>
      </c>
      <c r="F247" s="4">
        <f>ROUND(Source!T226,O247)</f>
        <v>0</v>
      </c>
      <c r="G247" s="4" t="s">
        <v>90</v>
      </c>
      <c r="H247" s="4" t="s">
        <v>91</v>
      </c>
      <c r="I247" s="4"/>
      <c r="J247" s="4"/>
      <c r="K247" s="4">
        <v>206</v>
      </c>
      <c r="L247" s="4">
        <v>20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207</v>
      </c>
      <c r="F248" s="4">
        <f>ROUND(Source!U226,O248)</f>
        <v>159.10936000000001</v>
      </c>
      <c r="G248" s="4" t="s">
        <v>92</v>
      </c>
      <c r="H248" s="4" t="s">
        <v>93</v>
      </c>
      <c r="I248" s="4"/>
      <c r="J248" s="4"/>
      <c r="K248" s="4">
        <v>207</v>
      </c>
      <c r="L248" s="4">
        <v>21</v>
      </c>
      <c r="M248" s="4">
        <v>3</v>
      </c>
      <c r="N248" s="4" t="s">
        <v>3</v>
      </c>
      <c r="O248" s="4">
        <v>7</v>
      </c>
      <c r="P248" s="4"/>
      <c r="Q248" s="4"/>
      <c r="R248" s="4"/>
      <c r="S248" s="4"/>
      <c r="T248" s="4"/>
      <c r="U248" s="4"/>
      <c r="V248" s="4"/>
      <c r="W248" s="4">
        <v>159.10936000000001</v>
      </c>
      <c r="X248" s="4">
        <v>1</v>
      </c>
      <c r="Y248" s="4">
        <v>159.10936000000001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208</v>
      </c>
      <c r="F249" s="4">
        <f>ROUND(Source!V226,O249)</f>
        <v>39.298569999999998</v>
      </c>
      <c r="G249" s="4" t="s">
        <v>94</v>
      </c>
      <c r="H249" s="4" t="s">
        <v>95</v>
      </c>
      <c r="I249" s="4"/>
      <c r="J249" s="4"/>
      <c r="K249" s="4">
        <v>208</v>
      </c>
      <c r="L249" s="4">
        <v>22</v>
      </c>
      <c r="M249" s="4">
        <v>3</v>
      </c>
      <c r="N249" s="4" t="s">
        <v>3</v>
      </c>
      <c r="O249" s="4">
        <v>7</v>
      </c>
      <c r="P249" s="4"/>
      <c r="Q249" s="4"/>
      <c r="R249" s="4"/>
      <c r="S249" s="4"/>
      <c r="T249" s="4"/>
      <c r="U249" s="4"/>
      <c r="V249" s="4"/>
      <c r="W249" s="4">
        <v>39.298569999999998</v>
      </c>
      <c r="X249" s="4">
        <v>1</v>
      </c>
      <c r="Y249" s="4">
        <v>39.298569999999998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209</v>
      </c>
      <c r="F250" s="4">
        <f>ROUND(Source!W226,O250)</f>
        <v>0</v>
      </c>
      <c r="G250" s="4" t="s">
        <v>96</v>
      </c>
      <c r="H250" s="4" t="s">
        <v>97</v>
      </c>
      <c r="I250" s="4"/>
      <c r="J250" s="4"/>
      <c r="K250" s="4">
        <v>209</v>
      </c>
      <c r="L250" s="4">
        <v>23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233</v>
      </c>
      <c r="F251" s="4">
        <f>ROUND(Source!BD226,O251)</f>
        <v>11931.3</v>
      </c>
      <c r="G251" s="4" t="s">
        <v>98</v>
      </c>
      <c r="H251" s="4" t="s">
        <v>99</v>
      </c>
      <c r="I251" s="4"/>
      <c r="J251" s="4"/>
      <c r="K251" s="4">
        <v>233</v>
      </c>
      <c r="L251" s="4">
        <v>24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11931.3</v>
      </c>
      <c r="X251" s="4">
        <v>1</v>
      </c>
      <c r="Y251" s="4">
        <v>11931.3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210</v>
      </c>
      <c r="F252" s="4">
        <f>ROUND(Source!X226,O252)</f>
        <v>88436.68</v>
      </c>
      <c r="G252" s="4" t="s">
        <v>100</v>
      </c>
      <c r="H252" s="4" t="s">
        <v>101</v>
      </c>
      <c r="I252" s="4"/>
      <c r="J252" s="4"/>
      <c r="K252" s="4">
        <v>210</v>
      </c>
      <c r="L252" s="4">
        <v>25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88436.68</v>
      </c>
      <c r="X252" s="4">
        <v>1</v>
      </c>
      <c r="Y252" s="4">
        <v>88436.68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211</v>
      </c>
      <c r="F253" s="4">
        <f>ROUND(Source!Y226,O253)</f>
        <v>48053.760000000002</v>
      </c>
      <c r="G253" s="4" t="s">
        <v>102</v>
      </c>
      <c r="H253" s="4" t="s">
        <v>103</v>
      </c>
      <c r="I253" s="4"/>
      <c r="J253" s="4"/>
      <c r="K253" s="4">
        <v>211</v>
      </c>
      <c r="L253" s="4">
        <v>26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48053.760000000002</v>
      </c>
      <c r="X253" s="4">
        <v>1</v>
      </c>
      <c r="Y253" s="4">
        <v>48053.760000000002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224</v>
      </c>
      <c r="F254" s="4">
        <f>ROUND(Source!AR226,O254)</f>
        <v>386033.48</v>
      </c>
      <c r="G254" s="4" t="s">
        <v>104</v>
      </c>
      <c r="H254" s="4" t="s">
        <v>105</v>
      </c>
      <c r="I254" s="4"/>
      <c r="J254" s="4"/>
      <c r="K254" s="4">
        <v>224</v>
      </c>
      <c r="L254" s="4">
        <v>27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386033.48</v>
      </c>
      <c r="X254" s="4">
        <v>1</v>
      </c>
      <c r="Y254" s="4">
        <v>386033.48</v>
      </c>
      <c r="Z254" s="4"/>
      <c r="AA254" s="4"/>
      <c r="AB254" s="4"/>
    </row>
    <row r="255" spans="1:28" x14ac:dyDescent="0.2">
      <c r="A255" s="4">
        <v>50</v>
      </c>
      <c r="B255" s="4">
        <v>1</v>
      </c>
      <c r="C255" s="4">
        <v>0</v>
      </c>
      <c r="D255" s="4">
        <v>2</v>
      </c>
      <c r="E255" s="4">
        <v>0</v>
      </c>
      <c r="F255" s="4">
        <f>ROUND(F60+F106+F147+F224+F187,O255)</f>
        <v>386033.48</v>
      </c>
      <c r="G255" s="4" t="s">
        <v>231</v>
      </c>
      <c r="H255" s="4" t="s">
        <v>232</v>
      </c>
      <c r="I255" s="4"/>
      <c r="J255" s="4"/>
      <c r="K255" s="4">
        <v>212</v>
      </c>
      <c r="L255" s="4">
        <v>28</v>
      </c>
      <c r="M255" s="4">
        <v>0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386033.48</v>
      </c>
      <c r="X255" s="4">
        <v>1</v>
      </c>
      <c r="Y255" s="4">
        <v>386033.48</v>
      </c>
      <c r="Z255" s="4"/>
      <c r="AA255" s="4"/>
      <c r="AB255" s="4"/>
    </row>
    <row r="256" spans="1:28" x14ac:dyDescent="0.2">
      <c r="A256" s="4">
        <v>50</v>
      </c>
      <c r="B256" s="4">
        <v>1</v>
      </c>
      <c r="C256" s="4">
        <v>0</v>
      </c>
      <c r="D256" s="4">
        <v>2</v>
      </c>
      <c r="E256" s="4">
        <v>0</v>
      </c>
      <c r="F256" s="4">
        <f>ROUND(0.2*F255,O256)</f>
        <v>77206.7</v>
      </c>
      <c r="G256" s="4" t="s">
        <v>233</v>
      </c>
      <c r="H256" s="4" t="s">
        <v>234</v>
      </c>
      <c r="I256" s="4"/>
      <c r="J256" s="4"/>
      <c r="K256" s="4">
        <v>212</v>
      </c>
      <c r="L256" s="4">
        <v>29</v>
      </c>
      <c r="M256" s="4">
        <v>0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77206.7</v>
      </c>
      <c r="X256" s="4">
        <v>1</v>
      </c>
      <c r="Y256" s="4">
        <v>77206.7</v>
      </c>
      <c r="Z256" s="4"/>
      <c r="AA256" s="4"/>
      <c r="AB256" s="4"/>
    </row>
    <row r="257" spans="1:206" x14ac:dyDescent="0.2">
      <c r="A257" s="4">
        <v>50</v>
      </c>
      <c r="B257" s="4">
        <v>1</v>
      </c>
      <c r="C257" s="4">
        <v>0</v>
      </c>
      <c r="D257" s="4">
        <v>2</v>
      </c>
      <c r="E257" s="4">
        <v>0</v>
      </c>
      <c r="F257" s="4">
        <f>ROUND(F256+F255,O257)</f>
        <v>463240.18</v>
      </c>
      <c r="G257" s="4" t="s">
        <v>235</v>
      </c>
      <c r="H257" s="4" t="s">
        <v>236</v>
      </c>
      <c r="I257" s="4"/>
      <c r="J257" s="4"/>
      <c r="K257" s="4">
        <v>212</v>
      </c>
      <c r="L257" s="4">
        <v>30</v>
      </c>
      <c r="M257" s="4">
        <v>0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463240.18</v>
      </c>
      <c r="X257" s="4">
        <v>1</v>
      </c>
      <c r="Y257" s="4">
        <v>463240.18</v>
      </c>
      <c r="Z257" s="4"/>
      <c r="AA257" s="4"/>
      <c r="AB257" s="4"/>
    </row>
    <row r="259" spans="1:206" x14ac:dyDescent="0.2">
      <c r="A259" s="2">
        <v>51</v>
      </c>
      <c r="B259" s="2">
        <f>B12</f>
        <v>317</v>
      </c>
      <c r="C259" s="2">
        <f>A12</f>
        <v>1</v>
      </c>
      <c r="D259" s="2">
        <f>ROW(A12)</f>
        <v>12</v>
      </c>
      <c r="E259" s="2"/>
      <c r="F259" s="2" t="str">
        <f>IF(F12&lt;&gt;"",F12,"")</f>
        <v>Новый объект</v>
      </c>
      <c r="G259" s="2" t="str">
        <f>IF(G12&lt;&gt;"",G12,"")</f>
        <v>ВЛ-0,4кВ июнь 24</v>
      </c>
      <c r="H259" s="2">
        <v>0</v>
      </c>
      <c r="I259" s="2"/>
      <c r="J259" s="2"/>
      <c r="K259" s="2"/>
      <c r="L259" s="2"/>
      <c r="M259" s="2"/>
      <c r="N259" s="2"/>
      <c r="O259" s="2">
        <f t="shared" ref="O259:T259" si="116">ROUND(O226,2)</f>
        <v>237611.74</v>
      </c>
      <c r="P259" s="2">
        <f t="shared" si="116"/>
        <v>79691.899999999994</v>
      </c>
      <c r="Q259" s="2">
        <f t="shared" si="116"/>
        <v>68650.09</v>
      </c>
      <c r="R259" s="2">
        <f t="shared" si="116"/>
        <v>21590.560000000001</v>
      </c>
      <c r="S259" s="2">
        <f t="shared" si="116"/>
        <v>67679.19</v>
      </c>
      <c r="T259" s="2">
        <f t="shared" si="116"/>
        <v>0</v>
      </c>
      <c r="U259" s="2">
        <f>U226</f>
        <v>159.10935999999998</v>
      </c>
      <c r="V259" s="2">
        <f>V226</f>
        <v>39.298569999999998</v>
      </c>
      <c r="W259" s="2">
        <f>ROUND(W226,2)</f>
        <v>0</v>
      </c>
      <c r="X259" s="2">
        <f>ROUND(X226,2)</f>
        <v>88436.68</v>
      </c>
      <c r="Y259" s="2">
        <f>ROUND(Y226,2)</f>
        <v>48053.760000000002</v>
      </c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>
        <f t="shared" ref="AO259:BD259" si="117">ROUND(AO226,2)</f>
        <v>0</v>
      </c>
      <c r="AP259" s="2">
        <f t="shared" si="117"/>
        <v>0</v>
      </c>
      <c r="AQ259" s="2">
        <f t="shared" si="117"/>
        <v>0</v>
      </c>
      <c r="AR259" s="2">
        <f t="shared" si="117"/>
        <v>386033.48</v>
      </c>
      <c r="AS259" s="2">
        <f t="shared" si="117"/>
        <v>138879.01999999999</v>
      </c>
      <c r="AT259" s="2">
        <f t="shared" si="117"/>
        <v>241617.66</v>
      </c>
      <c r="AU259" s="2">
        <f t="shared" si="117"/>
        <v>5536.8</v>
      </c>
      <c r="AV259" s="2">
        <f t="shared" si="117"/>
        <v>79691.899999999994</v>
      </c>
      <c r="AW259" s="2">
        <f t="shared" si="117"/>
        <v>79691.899999999994</v>
      </c>
      <c r="AX259" s="2">
        <f t="shared" si="117"/>
        <v>0</v>
      </c>
      <c r="AY259" s="2">
        <f t="shared" si="117"/>
        <v>79691.899999999994</v>
      </c>
      <c r="AZ259" s="2">
        <f t="shared" si="117"/>
        <v>0</v>
      </c>
      <c r="BA259" s="2">
        <f t="shared" si="117"/>
        <v>0</v>
      </c>
      <c r="BB259" s="2">
        <f t="shared" si="117"/>
        <v>0</v>
      </c>
      <c r="BC259" s="2">
        <f t="shared" si="117"/>
        <v>0</v>
      </c>
      <c r="BD259" s="2">
        <f t="shared" si="117"/>
        <v>11931.3</v>
      </c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  <c r="DW259" s="3"/>
      <c r="DX259" s="3"/>
      <c r="DY259" s="3"/>
      <c r="DZ259" s="3"/>
      <c r="EA259" s="3"/>
      <c r="EB259" s="3"/>
      <c r="EC259" s="3"/>
      <c r="ED259" s="3"/>
      <c r="EE259" s="3"/>
      <c r="EF259" s="3"/>
      <c r="EG259" s="3"/>
      <c r="EH259" s="3"/>
      <c r="EI259" s="3"/>
      <c r="EJ259" s="3"/>
      <c r="EK259" s="3"/>
      <c r="EL259" s="3"/>
      <c r="EM259" s="3"/>
      <c r="EN259" s="3"/>
      <c r="EO259" s="3"/>
      <c r="EP259" s="3"/>
      <c r="EQ259" s="3"/>
      <c r="ER259" s="3"/>
      <c r="ES259" s="3"/>
      <c r="ET259" s="3"/>
      <c r="EU259" s="3"/>
      <c r="EV259" s="3"/>
      <c r="EW259" s="3"/>
      <c r="EX259" s="3"/>
      <c r="EY259" s="3"/>
      <c r="EZ259" s="3"/>
      <c r="FA259" s="3"/>
      <c r="FB259" s="3"/>
      <c r="FC259" s="3"/>
      <c r="FD259" s="3"/>
      <c r="FE259" s="3"/>
      <c r="FF259" s="3"/>
      <c r="FG259" s="3"/>
      <c r="FH259" s="3"/>
      <c r="FI259" s="3"/>
      <c r="FJ259" s="3"/>
      <c r="FK259" s="3"/>
      <c r="FL259" s="3"/>
      <c r="FM259" s="3"/>
      <c r="FN259" s="3"/>
      <c r="FO259" s="3"/>
      <c r="FP259" s="3"/>
      <c r="FQ259" s="3"/>
      <c r="FR259" s="3"/>
      <c r="FS259" s="3"/>
      <c r="FT259" s="3"/>
      <c r="FU259" s="3"/>
      <c r="FV259" s="3"/>
      <c r="FW259" s="3"/>
      <c r="FX259" s="3"/>
      <c r="FY259" s="3"/>
      <c r="FZ259" s="3"/>
      <c r="GA259" s="3"/>
      <c r="GB259" s="3"/>
      <c r="GC259" s="3"/>
      <c r="GD259" s="3"/>
      <c r="GE259" s="3"/>
      <c r="GF259" s="3"/>
      <c r="GG259" s="3"/>
      <c r="GH259" s="3"/>
      <c r="GI259" s="3"/>
      <c r="GJ259" s="3"/>
      <c r="GK259" s="3"/>
      <c r="GL259" s="3"/>
      <c r="GM259" s="3"/>
      <c r="GN259" s="3"/>
      <c r="GO259" s="3"/>
      <c r="GP259" s="3"/>
      <c r="GQ259" s="3"/>
      <c r="GR259" s="3"/>
      <c r="GS259" s="3"/>
      <c r="GT259" s="3"/>
      <c r="GU259" s="3"/>
      <c r="GV259" s="3"/>
      <c r="GW259" s="3"/>
      <c r="GX259" s="3">
        <v>0</v>
      </c>
    </row>
    <row r="261" spans="1:206" x14ac:dyDescent="0.2">
      <c r="A261" s="4">
        <v>50</v>
      </c>
      <c r="B261" s="4">
        <v>0</v>
      </c>
      <c r="C261" s="4">
        <v>0</v>
      </c>
      <c r="D261" s="4">
        <v>1</v>
      </c>
      <c r="E261" s="4">
        <v>201</v>
      </c>
      <c r="F261" s="4">
        <f>ROUND(Source!O259,O261)</f>
        <v>237611.74</v>
      </c>
      <c r="G261" s="4" t="s">
        <v>52</v>
      </c>
      <c r="H261" s="4" t="s">
        <v>53</v>
      </c>
      <c r="I261" s="4"/>
      <c r="J261" s="4"/>
      <c r="K261" s="4">
        <v>201</v>
      </c>
      <c r="L261" s="4">
        <v>1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249543.03999999998</v>
      </c>
      <c r="X261" s="4">
        <v>1</v>
      </c>
      <c r="Y261" s="4">
        <v>249543.03999999998</v>
      </c>
      <c r="Z261" s="4"/>
      <c r="AA261" s="4"/>
      <c r="AB261" s="4"/>
    </row>
    <row r="262" spans="1:206" x14ac:dyDescent="0.2">
      <c r="A262" s="4">
        <v>50</v>
      </c>
      <c r="B262" s="4">
        <v>0</v>
      </c>
      <c r="C262" s="4">
        <v>0</v>
      </c>
      <c r="D262" s="4">
        <v>1</v>
      </c>
      <c r="E262" s="4">
        <v>202</v>
      </c>
      <c r="F262" s="4">
        <f>ROUND(Source!P259,O262)</f>
        <v>79691.899999999994</v>
      </c>
      <c r="G262" s="4" t="s">
        <v>54</v>
      </c>
      <c r="H262" s="4" t="s">
        <v>55</v>
      </c>
      <c r="I262" s="4"/>
      <c r="J262" s="4"/>
      <c r="K262" s="4">
        <v>202</v>
      </c>
      <c r="L262" s="4">
        <v>2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79691.899999999994</v>
      </c>
      <c r="X262" s="4">
        <v>1</v>
      </c>
      <c r="Y262" s="4">
        <v>79691.899999999994</v>
      </c>
      <c r="Z262" s="4"/>
      <c r="AA262" s="4"/>
      <c r="AB262" s="4"/>
    </row>
    <row r="263" spans="1:206" x14ac:dyDescent="0.2">
      <c r="A263" s="4">
        <v>50</v>
      </c>
      <c r="B263" s="4">
        <v>0</v>
      </c>
      <c r="C263" s="4">
        <v>0</v>
      </c>
      <c r="D263" s="4">
        <v>1</v>
      </c>
      <c r="E263" s="4">
        <v>222</v>
      </c>
      <c r="F263" s="4">
        <f>ROUND(Source!AO259,O263)</f>
        <v>0</v>
      </c>
      <c r="G263" s="4" t="s">
        <v>56</v>
      </c>
      <c r="H263" s="4" t="s">
        <v>57</v>
      </c>
      <c r="I263" s="4"/>
      <c r="J263" s="4"/>
      <c r="K263" s="4">
        <v>222</v>
      </c>
      <c r="L263" s="4">
        <v>3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06" x14ac:dyDescent="0.2">
      <c r="A264" s="4">
        <v>50</v>
      </c>
      <c r="B264" s="4">
        <v>0</v>
      </c>
      <c r="C264" s="4">
        <v>0</v>
      </c>
      <c r="D264" s="4">
        <v>1</v>
      </c>
      <c r="E264" s="4">
        <v>225</v>
      </c>
      <c r="F264" s="4">
        <f>ROUND(Source!AV259,O264)</f>
        <v>79691.899999999994</v>
      </c>
      <c r="G264" s="4" t="s">
        <v>58</v>
      </c>
      <c r="H264" s="4" t="s">
        <v>59</v>
      </c>
      <c r="I264" s="4"/>
      <c r="J264" s="4"/>
      <c r="K264" s="4">
        <v>225</v>
      </c>
      <c r="L264" s="4">
        <v>4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79691.899999999994</v>
      </c>
      <c r="X264" s="4">
        <v>1</v>
      </c>
      <c r="Y264" s="4">
        <v>79691.899999999994</v>
      </c>
      <c r="Z264" s="4"/>
      <c r="AA264" s="4"/>
      <c r="AB264" s="4"/>
    </row>
    <row r="265" spans="1:206" x14ac:dyDescent="0.2">
      <c r="A265" s="4">
        <v>50</v>
      </c>
      <c r="B265" s="4">
        <v>0</v>
      </c>
      <c r="C265" s="4">
        <v>0</v>
      </c>
      <c r="D265" s="4">
        <v>1</v>
      </c>
      <c r="E265" s="4">
        <v>226</v>
      </c>
      <c r="F265" s="4">
        <f>ROUND(Source!AW259,O265)</f>
        <v>79691.899999999994</v>
      </c>
      <c r="G265" s="4" t="s">
        <v>60</v>
      </c>
      <c r="H265" s="4" t="s">
        <v>61</v>
      </c>
      <c r="I265" s="4"/>
      <c r="J265" s="4"/>
      <c r="K265" s="4">
        <v>226</v>
      </c>
      <c r="L265" s="4">
        <v>5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79691.899999999994</v>
      </c>
      <c r="X265" s="4">
        <v>1</v>
      </c>
      <c r="Y265" s="4">
        <v>79691.899999999994</v>
      </c>
      <c r="Z265" s="4"/>
      <c r="AA265" s="4"/>
      <c r="AB265" s="4"/>
    </row>
    <row r="266" spans="1:206" x14ac:dyDescent="0.2">
      <c r="A266" s="4">
        <v>50</v>
      </c>
      <c r="B266" s="4">
        <v>0</v>
      </c>
      <c r="C266" s="4">
        <v>0</v>
      </c>
      <c r="D266" s="4">
        <v>1</v>
      </c>
      <c r="E266" s="4">
        <v>227</v>
      </c>
      <c r="F266" s="4">
        <f>ROUND(Source!AX259,O266)</f>
        <v>0</v>
      </c>
      <c r="G266" s="4" t="s">
        <v>62</v>
      </c>
      <c r="H266" s="4" t="s">
        <v>63</v>
      </c>
      <c r="I266" s="4"/>
      <c r="J266" s="4"/>
      <c r="K266" s="4">
        <v>227</v>
      </c>
      <c r="L266" s="4">
        <v>6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06" x14ac:dyDescent="0.2">
      <c r="A267" s="4">
        <v>50</v>
      </c>
      <c r="B267" s="4">
        <v>0</v>
      </c>
      <c r="C267" s="4">
        <v>0</v>
      </c>
      <c r="D267" s="4">
        <v>1</v>
      </c>
      <c r="E267" s="4">
        <v>228</v>
      </c>
      <c r="F267" s="4">
        <f>ROUND(Source!AY259,O267)</f>
        <v>79691.899999999994</v>
      </c>
      <c r="G267" s="4" t="s">
        <v>64</v>
      </c>
      <c r="H267" s="4" t="s">
        <v>65</v>
      </c>
      <c r="I267" s="4"/>
      <c r="J267" s="4"/>
      <c r="K267" s="4">
        <v>228</v>
      </c>
      <c r="L267" s="4">
        <v>7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79691.899999999994</v>
      </c>
      <c r="X267" s="4">
        <v>1</v>
      </c>
      <c r="Y267" s="4">
        <v>79691.899999999994</v>
      </c>
      <c r="Z267" s="4"/>
      <c r="AA267" s="4"/>
      <c r="AB267" s="4"/>
    </row>
    <row r="268" spans="1:206" x14ac:dyDescent="0.2">
      <c r="A268" s="4">
        <v>50</v>
      </c>
      <c r="B268" s="4">
        <v>0</v>
      </c>
      <c r="C268" s="4">
        <v>0</v>
      </c>
      <c r="D268" s="4">
        <v>1</v>
      </c>
      <c r="E268" s="4">
        <v>216</v>
      </c>
      <c r="F268" s="4">
        <f>ROUND(Source!AP259,O268)</f>
        <v>0</v>
      </c>
      <c r="G268" s="4" t="s">
        <v>66</v>
      </c>
      <c r="H268" s="4" t="s">
        <v>67</v>
      </c>
      <c r="I268" s="4"/>
      <c r="J268" s="4"/>
      <c r="K268" s="4">
        <v>216</v>
      </c>
      <c r="L268" s="4">
        <v>8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06" x14ac:dyDescent="0.2">
      <c r="A269" s="4">
        <v>50</v>
      </c>
      <c r="B269" s="4">
        <v>0</v>
      </c>
      <c r="C269" s="4">
        <v>0</v>
      </c>
      <c r="D269" s="4">
        <v>1</v>
      </c>
      <c r="E269" s="4">
        <v>223</v>
      </c>
      <c r="F269" s="4">
        <f>ROUND(Source!AQ259,O269)</f>
        <v>0</v>
      </c>
      <c r="G269" s="4" t="s">
        <v>68</v>
      </c>
      <c r="H269" s="4" t="s">
        <v>69</v>
      </c>
      <c r="I269" s="4"/>
      <c r="J269" s="4"/>
      <c r="K269" s="4">
        <v>223</v>
      </c>
      <c r="L269" s="4">
        <v>9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06" x14ac:dyDescent="0.2">
      <c r="A270" s="4">
        <v>50</v>
      </c>
      <c r="B270" s="4">
        <v>0</v>
      </c>
      <c r="C270" s="4">
        <v>0</v>
      </c>
      <c r="D270" s="4">
        <v>1</v>
      </c>
      <c r="E270" s="4">
        <v>229</v>
      </c>
      <c r="F270" s="4">
        <f>ROUND(Source!AZ259,O270)</f>
        <v>0</v>
      </c>
      <c r="G270" s="4" t="s">
        <v>70</v>
      </c>
      <c r="H270" s="4" t="s">
        <v>71</v>
      </c>
      <c r="I270" s="4"/>
      <c r="J270" s="4"/>
      <c r="K270" s="4">
        <v>229</v>
      </c>
      <c r="L270" s="4">
        <v>10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203</v>
      </c>
      <c r="F271" s="4">
        <f>ROUND(Source!Q259,O271)</f>
        <v>68650.09</v>
      </c>
      <c r="G271" s="4" t="s">
        <v>72</v>
      </c>
      <c r="H271" s="4" t="s">
        <v>73</v>
      </c>
      <c r="I271" s="4"/>
      <c r="J271" s="4"/>
      <c r="K271" s="4">
        <v>203</v>
      </c>
      <c r="L271" s="4">
        <v>11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68650.09</v>
      </c>
      <c r="X271" s="4">
        <v>1</v>
      </c>
      <c r="Y271" s="4">
        <v>68650.09</v>
      </c>
      <c r="Z271" s="4"/>
      <c r="AA271" s="4"/>
      <c r="AB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231</v>
      </c>
      <c r="F272" s="4">
        <f>ROUND(Source!BB259,O272)</f>
        <v>0</v>
      </c>
      <c r="G272" s="4" t="s">
        <v>74</v>
      </c>
      <c r="H272" s="4" t="s">
        <v>75</v>
      </c>
      <c r="I272" s="4"/>
      <c r="J272" s="4"/>
      <c r="K272" s="4">
        <v>231</v>
      </c>
      <c r="L272" s="4">
        <v>12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204</v>
      </c>
      <c r="F273" s="4">
        <f>ROUND(Source!R259,O273)</f>
        <v>21590.560000000001</v>
      </c>
      <c r="G273" s="4" t="s">
        <v>76</v>
      </c>
      <c r="H273" s="4" t="s">
        <v>77</v>
      </c>
      <c r="I273" s="4"/>
      <c r="J273" s="4"/>
      <c r="K273" s="4">
        <v>204</v>
      </c>
      <c r="L273" s="4">
        <v>13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21590.559999999998</v>
      </c>
      <c r="X273" s="4">
        <v>1</v>
      </c>
      <c r="Y273" s="4">
        <v>21590.559999999998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205</v>
      </c>
      <c r="F274" s="4">
        <f>ROUND(Source!S259,O274)</f>
        <v>67679.19</v>
      </c>
      <c r="G274" s="4" t="s">
        <v>78</v>
      </c>
      <c r="H274" s="4" t="s">
        <v>79</v>
      </c>
      <c r="I274" s="4"/>
      <c r="J274" s="4"/>
      <c r="K274" s="4">
        <v>205</v>
      </c>
      <c r="L274" s="4">
        <v>14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67679.19</v>
      </c>
      <c r="X274" s="4">
        <v>1</v>
      </c>
      <c r="Y274" s="4">
        <v>67679.19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232</v>
      </c>
      <c r="F275" s="4">
        <f>ROUND(Source!BC259,O275)</f>
        <v>0</v>
      </c>
      <c r="G275" s="4" t="s">
        <v>80</v>
      </c>
      <c r="H275" s="4" t="s">
        <v>81</v>
      </c>
      <c r="I275" s="4"/>
      <c r="J275" s="4"/>
      <c r="K275" s="4">
        <v>232</v>
      </c>
      <c r="L275" s="4">
        <v>15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214</v>
      </c>
      <c r="F276" s="4">
        <f>ROUND(Source!AS259,O276)</f>
        <v>138879.01999999999</v>
      </c>
      <c r="G276" s="4" t="s">
        <v>82</v>
      </c>
      <c r="H276" s="4" t="s">
        <v>83</v>
      </c>
      <c r="I276" s="4"/>
      <c r="J276" s="4"/>
      <c r="K276" s="4">
        <v>214</v>
      </c>
      <c r="L276" s="4">
        <v>16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138879.01999999999</v>
      </c>
      <c r="X276" s="4">
        <v>1</v>
      </c>
      <c r="Y276" s="4">
        <v>138879.01999999999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215</v>
      </c>
      <c r="F277" s="4">
        <f>ROUND(Source!AT259,O277)</f>
        <v>241617.66</v>
      </c>
      <c r="G277" s="4" t="s">
        <v>84</v>
      </c>
      <c r="H277" s="4" t="s">
        <v>85</v>
      </c>
      <c r="I277" s="4"/>
      <c r="J277" s="4"/>
      <c r="K277" s="4">
        <v>215</v>
      </c>
      <c r="L277" s="4">
        <v>17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241617.66</v>
      </c>
      <c r="X277" s="4">
        <v>1</v>
      </c>
      <c r="Y277" s="4">
        <v>241617.66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217</v>
      </c>
      <c r="F278" s="4">
        <f>ROUND(Source!AU259,O278)</f>
        <v>5536.8</v>
      </c>
      <c r="G278" s="4" t="s">
        <v>86</v>
      </c>
      <c r="H278" s="4" t="s">
        <v>87</v>
      </c>
      <c r="I278" s="4"/>
      <c r="J278" s="4"/>
      <c r="K278" s="4">
        <v>217</v>
      </c>
      <c r="L278" s="4">
        <v>18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5536.8</v>
      </c>
      <c r="X278" s="4">
        <v>1</v>
      </c>
      <c r="Y278" s="4">
        <v>5536.8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230</v>
      </c>
      <c r="F279" s="4">
        <f>ROUND(Source!BA259,O279)</f>
        <v>0</v>
      </c>
      <c r="G279" s="4" t="s">
        <v>88</v>
      </c>
      <c r="H279" s="4" t="s">
        <v>89</v>
      </c>
      <c r="I279" s="4"/>
      <c r="J279" s="4"/>
      <c r="K279" s="4">
        <v>230</v>
      </c>
      <c r="L279" s="4">
        <v>19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206</v>
      </c>
      <c r="F280" s="4">
        <f>ROUND(Source!T259,O280)</f>
        <v>0</v>
      </c>
      <c r="G280" s="4" t="s">
        <v>90</v>
      </c>
      <c r="H280" s="4" t="s">
        <v>91</v>
      </c>
      <c r="I280" s="4"/>
      <c r="J280" s="4"/>
      <c r="K280" s="4">
        <v>206</v>
      </c>
      <c r="L280" s="4">
        <v>20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207</v>
      </c>
      <c r="F281" s="4">
        <f>ROUND(Source!U259,O281)</f>
        <v>159.10936000000001</v>
      </c>
      <c r="G281" s="4" t="s">
        <v>92</v>
      </c>
      <c r="H281" s="4" t="s">
        <v>93</v>
      </c>
      <c r="I281" s="4"/>
      <c r="J281" s="4"/>
      <c r="K281" s="4">
        <v>207</v>
      </c>
      <c r="L281" s="4">
        <v>21</v>
      </c>
      <c r="M281" s="4">
        <v>3</v>
      </c>
      <c r="N281" s="4" t="s">
        <v>3</v>
      </c>
      <c r="O281" s="4">
        <v>7</v>
      </c>
      <c r="P281" s="4"/>
      <c r="Q281" s="4"/>
      <c r="R281" s="4"/>
      <c r="S281" s="4"/>
      <c r="T281" s="4"/>
      <c r="U281" s="4"/>
      <c r="V281" s="4"/>
      <c r="W281" s="4">
        <v>159.10936000000001</v>
      </c>
      <c r="X281" s="4">
        <v>1</v>
      </c>
      <c r="Y281" s="4">
        <v>159.10936000000001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208</v>
      </c>
      <c r="F282" s="4">
        <f>ROUND(Source!V259,O282)</f>
        <v>39.298569999999998</v>
      </c>
      <c r="G282" s="4" t="s">
        <v>94</v>
      </c>
      <c r="H282" s="4" t="s">
        <v>95</v>
      </c>
      <c r="I282" s="4"/>
      <c r="J282" s="4"/>
      <c r="K282" s="4">
        <v>208</v>
      </c>
      <c r="L282" s="4">
        <v>22</v>
      </c>
      <c r="M282" s="4">
        <v>3</v>
      </c>
      <c r="N282" s="4" t="s">
        <v>3</v>
      </c>
      <c r="O282" s="4">
        <v>7</v>
      </c>
      <c r="P282" s="4"/>
      <c r="Q282" s="4"/>
      <c r="R282" s="4"/>
      <c r="S282" s="4"/>
      <c r="T282" s="4"/>
      <c r="U282" s="4"/>
      <c r="V282" s="4"/>
      <c r="W282" s="4">
        <v>39.298569999999998</v>
      </c>
      <c r="X282" s="4">
        <v>1</v>
      </c>
      <c r="Y282" s="4">
        <v>39.298569999999998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209</v>
      </c>
      <c r="F283" s="4">
        <f>ROUND(Source!W259,O283)</f>
        <v>0</v>
      </c>
      <c r="G283" s="4" t="s">
        <v>96</v>
      </c>
      <c r="H283" s="4" t="s">
        <v>97</v>
      </c>
      <c r="I283" s="4"/>
      <c r="J283" s="4"/>
      <c r="K283" s="4">
        <v>209</v>
      </c>
      <c r="L283" s="4">
        <v>23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233</v>
      </c>
      <c r="F284" s="4">
        <f>ROUND(Source!BD259,O284)</f>
        <v>11931.3</v>
      </c>
      <c r="G284" s="4" t="s">
        <v>98</v>
      </c>
      <c r="H284" s="4" t="s">
        <v>99</v>
      </c>
      <c r="I284" s="4"/>
      <c r="J284" s="4"/>
      <c r="K284" s="4">
        <v>233</v>
      </c>
      <c r="L284" s="4">
        <v>24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11931.3</v>
      </c>
      <c r="X284" s="4">
        <v>1</v>
      </c>
      <c r="Y284" s="4">
        <v>11931.3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210</v>
      </c>
      <c r="F285" s="4">
        <f>ROUND(Source!X259,O285)</f>
        <v>88436.68</v>
      </c>
      <c r="G285" s="4" t="s">
        <v>100</v>
      </c>
      <c r="H285" s="4" t="s">
        <v>101</v>
      </c>
      <c r="I285" s="4"/>
      <c r="J285" s="4"/>
      <c r="K285" s="4">
        <v>210</v>
      </c>
      <c r="L285" s="4">
        <v>25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88436.68</v>
      </c>
      <c r="X285" s="4">
        <v>1</v>
      </c>
      <c r="Y285" s="4">
        <v>88436.68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211</v>
      </c>
      <c r="F286" s="4">
        <f>ROUND(Source!Y259,O286)</f>
        <v>48053.760000000002</v>
      </c>
      <c r="G286" s="4" t="s">
        <v>102</v>
      </c>
      <c r="H286" s="4" t="s">
        <v>103</v>
      </c>
      <c r="I286" s="4"/>
      <c r="J286" s="4"/>
      <c r="K286" s="4">
        <v>211</v>
      </c>
      <c r="L286" s="4">
        <v>26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48053.760000000002</v>
      </c>
      <c r="X286" s="4">
        <v>1</v>
      </c>
      <c r="Y286" s="4">
        <v>48053.760000000002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224</v>
      </c>
      <c r="F287" s="4">
        <f>ROUND(Source!AR259,O287)</f>
        <v>386033.48</v>
      </c>
      <c r="G287" s="4" t="s">
        <v>104</v>
      </c>
      <c r="H287" s="4" t="s">
        <v>105</v>
      </c>
      <c r="I287" s="4"/>
      <c r="J287" s="4"/>
      <c r="K287" s="4">
        <v>224</v>
      </c>
      <c r="L287" s="4">
        <v>27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386033.48</v>
      </c>
      <c r="X287" s="4">
        <v>1</v>
      </c>
      <c r="Y287" s="4">
        <v>386033.48</v>
      </c>
      <c r="Z287" s="4"/>
      <c r="AA287" s="4"/>
      <c r="AB287" s="4"/>
    </row>
    <row r="289" spans="1:16" x14ac:dyDescent="0.2">
      <c r="A289">
        <v>71</v>
      </c>
      <c r="B289">
        <v>1</v>
      </c>
      <c r="D289">
        <v>200001</v>
      </c>
      <c r="E289">
        <v>56151601</v>
      </c>
      <c r="F289" t="s">
        <v>237</v>
      </c>
      <c r="G289" t="s">
        <v>238</v>
      </c>
      <c r="H289">
        <v>80</v>
      </c>
      <c r="I289">
        <v>20</v>
      </c>
    </row>
    <row r="292" spans="1:16" x14ac:dyDescent="0.2">
      <c r="A292">
        <v>70</v>
      </c>
      <c r="B292">
        <v>1</v>
      </c>
      <c r="D292">
        <v>1</v>
      </c>
      <c r="E292" t="s">
        <v>239</v>
      </c>
      <c r="F292" t="s">
        <v>240</v>
      </c>
      <c r="G292">
        <v>1</v>
      </c>
      <c r="H292">
        <v>0</v>
      </c>
      <c r="I292" t="s">
        <v>3</v>
      </c>
      <c r="J292">
        <v>1</v>
      </c>
      <c r="K292">
        <v>0</v>
      </c>
      <c r="L292" t="s">
        <v>3</v>
      </c>
      <c r="M292" t="s">
        <v>3</v>
      </c>
      <c r="N292">
        <v>0</v>
      </c>
      <c r="P292" t="s">
        <v>241</v>
      </c>
    </row>
    <row r="293" spans="1:16" x14ac:dyDescent="0.2">
      <c r="A293">
        <v>70</v>
      </c>
      <c r="B293">
        <v>1</v>
      </c>
      <c r="D293">
        <v>2</v>
      </c>
      <c r="E293" t="s">
        <v>242</v>
      </c>
      <c r="F293" t="s">
        <v>243</v>
      </c>
      <c r="G293">
        <v>0</v>
      </c>
      <c r="H293">
        <v>0</v>
      </c>
      <c r="I293" t="s">
        <v>3</v>
      </c>
      <c r="J293">
        <v>1</v>
      </c>
      <c r="K293">
        <v>0</v>
      </c>
      <c r="L293" t="s">
        <v>3</v>
      </c>
      <c r="M293" t="s">
        <v>3</v>
      </c>
      <c r="N293">
        <v>0</v>
      </c>
      <c r="P293" t="s">
        <v>244</v>
      </c>
    </row>
    <row r="294" spans="1:16" x14ac:dyDescent="0.2">
      <c r="A294">
        <v>70</v>
      </c>
      <c r="B294">
        <v>1</v>
      </c>
      <c r="D294">
        <v>3</v>
      </c>
      <c r="E294" t="s">
        <v>245</v>
      </c>
      <c r="F294" t="s">
        <v>246</v>
      </c>
      <c r="G294">
        <v>0</v>
      </c>
      <c r="H294">
        <v>0</v>
      </c>
      <c r="I294" t="s">
        <v>3</v>
      </c>
      <c r="J294">
        <v>1</v>
      </c>
      <c r="K294">
        <v>0</v>
      </c>
      <c r="L294" t="s">
        <v>3</v>
      </c>
      <c r="M294" t="s">
        <v>3</v>
      </c>
      <c r="N294">
        <v>0</v>
      </c>
      <c r="P294" t="s">
        <v>247</v>
      </c>
    </row>
    <row r="295" spans="1:16" x14ac:dyDescent="0.2">
      <c r="A295">
        <v>70</v>
      </c>
      <c r="B295">
        <v>1</v>
      </c>
      <c r="D295">
        <v>4</v>
      </c>
      <c r="E295" t="s">
        <v>248</v>
      </c>
      <c r="F295" t="s">
        <v>249</v>
      </c>
      <c r="G295">
        <v>1</v>
      </c>
      <c r="H295">
        <v>0</v>
      </c>
      <c r="I295" t="s">
        <v>3</v>
      </c>
      <c r="J295">
        <v>2</v>
      </c>
      <c r="K295">
        <v>0</v>
      </c>
      <c r="L295" t="s">
        <v>3</v>
      </c>
      <c r="M295" t="s">
        <v>3</v>
      </c>
      <c r="N295">
        <v>0</v>
      </c>
      <c r="P295" t="s">
        <v>3</v>
      </c>
    </row>
    <row r="296" spans="1:16" x14ac:dyDescent="0.2">
      <c r="A296">
        <v>70</v>
      </c>
      <c r="B296">
        <v>1</v>
      </c>
      <c r="D296">
        <v>5</v>
      </c>
      <c r="E296" t="s">
        <v>250</v>
      </c>
      <c r="F296" t="s">
        <v>251</v>
      </c>
      <c r="G296">
        <v>0</v>
      </c>
      <c r="H296">
        <v>0</v>
      </c>
      <c r="I296" t="s">
        <v>3</v>
      </c>
      <c r="J296">
        <v>2</v>
      </c>
      <c r="K296">
        <v>0</v>
      </c>
      <c r="L296" t="s">
        <v>3</v>
      </c>
      <c r="M296" t="s">
        <v>3</v>
      </c>
      <c r="N296">
        <v>0</v>
      </c>
      <c r="P296" t="s">
        <v>3</v>
      </c>
    </row>
    <row r="297" spans="1:16" x14ac:dyDescent="0.2">
      <c r="A297">
        <v>70</v>
      </c>
      <c r="B297">
        <v>1</v>
      </c>
      <c r="D297">
        <v>6</v>
      </c>
      <c r="E297" t="s">
        <v>252</v>
      </c>
      <c r="F297" t="s">
        <v>253</v>
      </c>
      <c r="G297">
        <v>0</v>
      </c>
      <c r="H297">
        <v>0</v>
      </c>
      <c r="I297" t="s">
        <v>3</v>
      </c>
      <c r="J297">
        <v>2</v>
      </c>
      <c r="K297">
        <v>0</v>
      </c>
      <c r="L297" t="s">
        <v>3</v>
      </c>
      <c r="M297" t="s">
        <v>3</v>
      </c>
      <c r="N297">
        <v>0</v>
      </c>
      <c r="P297" t="s">
        <v>3</v>
      </c>
    </row>
    <row r="298" spans="1:16" x14ac:dyDescent="0.2">
      <c r="A298">
        <v>70</v>
      </c>
      <c r="B298">
        <v>1</v>
      </c>
      <c r="D298">
        <v>7</v>
      </c>
      <c r="E298" t="s">
        <v>254</v>
      </c>
      <c r="F298" t="s">
        <v>255</v>
      </c>
      <c r="G298">
        <v>0</v>
      </c>
      <c r="H298">
        <v>0</v>
      </c>
      <c r="I298" t="s">
        <v>256</v>
      </c>
      <c r="J298">
        <v>0</v>
      </c>
      <c r="K298">
        <v>0</v>
      </c>
      <c r="L298" t="s">
        <v>3</v>
      </c>
      <c r="M298" t="s">
        <v>3</v>
      </c>
      <c r="N298">
        <v>0</v>
      </c>
      <c r="P298" t="s">
        <v>257</v>
      </c>
    </row>
    <row r="299" spans="1:16" x14ac:dyDescent="0.2">
      <c r="A299">
        <v>70</v>
      </c>
      <c r="B299">
        <v>1</v>
      </c>
      <c r="D299">
        <v>8</v>
      </c>
      <c r="E299" t="s">
        <v>258</v>
      </c>
      <c r="F299" t="s">
        <v>259</v>
      </c>
      <c r="G299">
        <v>1</v>
      </c>
      <c r="H299">
        <v>0</v>
      </c>
      <c r="I299" t="s">
        <v>3</v>
      </c>
      <c r="J299">
        <v>5</v>
      </c>
      <c r="K299">
        <v>0</v>
      </c>
      <c r="L299" t="s">
        <v>3</v>
      </c>
      <c r="M299" t="s">
        <v>3</v>
      </c>
      <c r="N299">
        <v>0</v>
      </c>
      <c r="P299" t="s">
        <v>3</v>
      </c>
    </row>
    <row r="300" spans="1:16" x14ac:dyDescent="0.2">
      <c r="A300">
        <v>70</v>
      </c>
      <c r="B300">
        <v>1</v>
      </c>
      <c r="D300">
        <v>9</v>
      </c>
      <c r="E300" t="s">
        <v>260</v>
      </c>
      <c r="F300" t="s">
        <v>261</v>
      </c>
      <c r="G300">
        <v>0</v>
      </c>
      <c r="H300">
        <v>0</v>
      </c>
      <c r="I300" t="s">
        <v>3</v>
      </c>
      <c r="J300">
        <v>5</v>
      </c>
      <c r="K300">
        <v>0</v>
      </c>
      <c r="L300" t="s">
        <v>3</v>
      </c>
      <c r="M300" t="s">
        <v>3</v>
      </c>
      <c r="N300">
        <v>0</v>
      </c>
      <c r="P300" t="s">
        <v>262</v>
      </c>
    </row>
    <row r="301" spans="1:16" x14ac:dyDescent="0.2">
      <c r="A301">
        <v>70</v>
      </c>
      <c r="B301">
        <v>1</v>
      </c>
      <c r="D301">
        <v>10</v>
      </c>
      <c r="E301" t="s">
        <v>263</v>
      </c>
      <c r="F301" t="s">
        <v>264</v>
      </c>
      <c r="G301">
        <v>0</v>
      </c>
      <c r="H301">
        <v>0</v>
      </c>
      <c r="I301" t="s">
        <v>265</v>
      </c>
      <c r="J301">
        <v>5</v>
      </c>
      <c r="K301">
        <v>0</v>
      </c>
      <c r="L301" t="s">
        <v>3</v>
      </c>
      <c r="M301" t="s">
        <v>3</v>
      </c>
      <c r="N301">
        <v>0</v>
      </c>
      <c r="P301" t="s">
        <v>266</v>
      </c>
    </row>
    <row r="302" spans="1:16" x14ac:dyDescent="0.2">
      <c r="A302">
        <v>70</v>
      </c>
      <c r="B302">
        <v>1</v>
      </c>
      <c r="D302">
        <v>11</v>
      </c>
      <c r="E302" t="s">
        <v>267</v>
      </c>
      <c r="F302" t="s">
        <v>268</v>
      </c>
      <c r="G302">
        <v>0</v>
      </c>
      <c r="H302">
        <v>0</v>
      </c>
      <c r="I302" t="s">
        <v>269</v>
      </c>
      <c r="J302">
        <v>0</v>
      </c>
      <c r="K302">
        <v>0</v>
      </c>
      <c r="L302" t="s">
        <v>3</v>
      </c>
      <c r="M302" t="s">
        <v>3</v>
      </c>
      <c r="N302">
        <v>0</v>
      </c>
      <c r="P302" t="s">
        <v>270</v>
      </c>
    </row>
    <row r="303" spans="1:16" x14ac:dyDescent="0.2">
      <c r="A303">
        <v>70</v>
      </c>
      <c r="B303">
        <v>1</v>
      </c>
      <c r="D303">
        <v>12</v>
      </c>
      <c r="E303" t="s">
        <v>271</v>
      </c>
      <c r="F303" t="s">
        <v>272</v>
      </c>
      <c r="G303">
        <v>0</v>
      </c>
      <c r="H303">
        <v>0</v>
      </c>
      <c r="I303" t="s">
        <v>273</v>
      </c>
      <c r="J303">
        <v>0</v>
      </c>
      <c r="K303">
        <v>0</v>
      </c>
      <c r="L303" t="s">
        <v>3</v>
      </c>
      <c r="M303" t="s">
        <v>3</v>
      </c>
      <c r="N303">
        <v>0</v>
      </c>
      <c r="P303" t="s">
        <v>274</v>
      </c>
    </row>
    <row r="304" spans="1:16" x14ac:dyDescent="0.2">
      <c r="A304">
        <v>70</v>
      </c>
      <c r="B304">
        <v>1</v>
      </c>
      <c r="D304">
        <v>13</v>
      </c>
      <c r="E304" t="s">
        <v>275</v>
      </c>
      <c r="F304" t="s">
        <v>276</v>
      </c>
      <c r="G304">
        <v>0</v>
      </c>
      <c r="H304">
        <v>0</v>
      </c>
      <c r="I304" t="s">
        <v>277</v>
      </c>
      <c r="J304">
        <v>0</v>
      </c>
      <c r="K304">
        <v>0</v>
      </c>
      <c r="L304" t="s">
        <v>3</v>
      </c>
      <c r="M304" t="s">
        <v>3</v>
      </c>
      <c r="N304">
        <v>0</v>
      </c>
      <c r="P304" t="s">
        <v>278</v>
      </c>
    </row>
    <row r="305" spans="1:50" x14ac:dyDescent="0.2">
      <c r="A305">
        <v>70</v>
      </c>
      <c r="B305">
        <v>1</v>
      </c>
      <c r="D305">
        <v>14</v>
      </c>
      <c r="E305" t="s">
        <v>279</v>
      </c>
      <c r="F305" t="s">
        <v>280</v>
      </c>
      <c r="G305">
        <v>0</v>
      </c>
      <c r="H305">
        <v>0</v>
      </c>
      <c r="I305" t="s">
        <v>3</v>
      </c>
      <c r="J305">
        <v>0</v>
      </c>
      <c r="K305">
        <v>0</v>
      </c>
      <c r="L305" t="s">
        <v>3</v>
      </c>
      <c r="M305" t="s">
        <v>3</v>
      </c>
      <c r="N305">
        <v>0</v>
      </c>
      <c r="P305" t="s">
        <v>281</v>
      </c>
    </row>
    <row r="306" spans="1:50" x14ac:dyDescent="0.2">
      <c r="A306">
        <v>70</v>
      </c>
      <c r="B306">
        <v>1</v>
      </c>
      <c r="D306">
        <v>15</v>
      </c>
      <c r="E306" t="s">
        <v>282</v>
      </c>
      <c r="F306" t="s">
        <v>283</v>
      </c>
      <c r="G306">
        <v>0</v>
      </c>
      <c r="H306">
        <v>0</v>
      </c>
      <c r="I306" t="s">
        <v>3</v>
      </c>
      <c r="J306">
        <v>3</v>
      </c>
      <c r="K306">
        <v>0</v>
      </c>
      <c r="L306" t="s">
        <v>3</v>
      </c>
      <c r="M306" t="s">
        <v>3</v>
      </c>
      <c r="N306">
        <v>0</v>
      </c>
      <c r="P306" t="s">
        <v>3</v>
      </c>
    </row>
    <row r="307" spans="1:50" x14ac:dyDescent="0.2">
      <c r="A307">
        <v>70</v>
      </c>
      <c r="B307">
        <v>1</v>
      </c>
      <c r="D307">
        <v>16</v>
      </c>
      <c r="E307" t="s">
        <v>284</v>
      </c>
      <c r="F307" t="s">
        <v>285</v>
      </c>
      <c r="G307">
        <v>1</v>
      </c>
      <c r="H307">
        <v>0</v>
      </c>
      <c r="I307" t="s">
        <v>3</v>
      </c>
      <c r="J307">
        <v>3</v>
      </c>
      <c r="K307">
        <v>0</v>
      </c>
      <c r="L307" t="s">
        <v>3</v>
      </c>
      <c r="M307" t="s">
        <v>3</v>
      </c>
      <c r="N307">
        <v>0</v>
      </c>
      <c r="P307" t="s">
        <v>3</v>
      </c>
    </row>
    <row r="308" spans="1:50" x14ac:dyDescent="0.2">
      <c r="A308">
        <v>70</v>
      </c>
      <c r="B308">
        <v>1</v>
      </c>
      <c r="D308">
        <v>1</v>
      </c>
      <c r="E308" t="s">
        <v>286</v>
      </c>
      <c r="F308" t="s">
        <v>287</v>
      </c>
      <c r="G308">
        <v>0.9</v>
      </c>
      <c r="H308">
        <v>1</v>
      </c>
      <c r="I308" t="s">
        <v>288</v>
      </c>
      <c r="J308">
        <v>0</v>
      </c>
      <c r="K308">
        <v>0</v>
      </c>
      <c r="L308" t="s">
        <v>3</v>
      </c>
      <c r="M308" t="s">
        <v>3</v>
      </c>
      <c r="N308">
        <v>0</v>
      </c>
      <c r="P308" t="s">
        <v>289</v>
      </c>
    </row>
    <row r="309" spans="1:50" x14ac:dyDescent="0.2">
      <c r="A309">
        <v>70</v>
      </c>
      <c r="B309">
        <v>1</v>
      </c>
      <c r="D309">
        <v>2</v>
      </c>
      <c r="E309" t="s">
        <v>290</v>
      </c>
      <c r="F309" t="s">
        <v>291</v>
      </c>
      <c r="G309">
        <v>0.85</v>
      </c>
      <c r="H309">
        <v>1</v>
      </c>
      <c r="I309" t="s">
        <v>292</v>
      </c>
      <c r="J309">
        <v>0</v>
      </c>
      <c r="K309">
        <v>0</v>
      </c>
      <c r="L309" t="s">
        <v>3</v>
      </c>
      <c r="M309" t="s">
        <v>3</v>
      </c>
      <c r="N309">
        <v>0</v>
      </c>
      <c r="P309" t="s">
        <v>293</v>
      </c>
    </row>
    <row r="310" spans="1:50" x14ac:dyDescent="0.2">
      <c r="A310">
        <v>70</v>
      </c>
      <c r="B310">
        <v>1</v>
      </c>
      <c r="D310">
        <v>3</v>
      </c>
      <c r="E310" t="s">
        <v>294</v>
      </c>
      <c r="F310" t="s">
        <v>295</v>
      </c>
      <c r="G310">
        <v>1.03</v>
      </c>
      <c r="H310">
        <v>0</v>
      </c>
      <c r="I310" t="s">
        <v>3</v>
      </c>
      <c r="J310">
        <v>0</v>
      </c>
      <c r="K310">
        <v>0</v>
      </c>
      <c r="L310" t="s">
        <v>3</v>
      </c>
      <c r="M310" t="s">
        <v>3</v>
      </c>
      <c r="N310">
        <v>0</v>
      </c>
      <c r="P310" t="s">
        <v>296</v>
      </c>
    </row>
    <row r="311" spans="1:50" x14ac:dyDescent="0.2">
      <c r="A311">
        <v>70</v>
      </c>
      <c r="B311">
        <v>1</v>
      </c>
      <c r="D311">
        <v>4</v>
      </c>
      <c r="E311" t="s">
        <v>297</v>
      </c>
      <c r="F311" t="s">
        <v>298</v>
      </c>
      <c r="G311">
        <v>1.1499999999999999</v>
      </c>
      <c r="H311">
        <v>0</v>
      </c>
      <c r="I311" t="s">
        <v>3</v>
      </c>
      <c r="J311">
        <v>0</v>
      </c>
      <c r="K311">
        <v>0</v>
      </c>
      <c r="L311" t="s">
        <v>3</v>
      </c>
      <c r="M311" t="s">
        <v>3</v>
      </c>
      <c r="N311">
        <v>0</v>
      </c>
      <c r="P311" t="s">
        <v>299</v>
      </c>
    </row>
    <row r="312" spans="1:50" x14ac:dyDescent="0.2">
      <c r="A312">
        <v>70</v>
      </c>
      <c r="B312">
        <v>1</v>
      </c>
      <c r="D312">
        <v>5</v>
      </c>
      <c r="E312" t="s">
        <v>300</v>
      </c>
      <c r="F312" t="s">
        <v>301</v>
      </c>
      <c r="G312">
        <v>7</v>
      </c>
      <c r="H312">
        <v>0</v>
      </c>
      <c r="I312" t="s">
        <v>3</v>
      </c>
      <c r="J312">
        <v>0</v>
      </c>
      <c r="K312">
        <v>0</v>
      </c>
      <c r="L312" t="s">
        <v>3</v>
      </c>
      <c r="M312" t="s">
        <v>3</v>
      </c>
      <c r="N312">
        <v>0</v>
      </c>
      <c r="P312" t="s">
        <v>3</v>
      </c>
    </row>
    <row r="313" spans="1:50" x14ac:dyDescent="0.2">
      <c r="A313">
        <v>70</v>
      </c>
      <c r="B313">
        <v>1</v>
      </c>
      <c r="D313">
        <v>6</v>
      </c>
      <c r="E313" t="s">
        <v>302</v>
      </c>
      <c r="F313" t="s">
        <v>3</v>
      </c>
      <c r="G313">
        <v>2</v>
      </c>
      <c r="H313">
        <v>0</v>
      </c>
      <c r="I313" t="s">
        <v>3</v>
      </c>
      <c r="J313">
        <v>0</v>
      </c>
      <c r="K313">
        <v>0</v>
      </c>
      <c r="L313" t="s">
        <v>3</v>
      </c>
      <c r="M313" t="s">
        <v>3</v>
      </c>
      <c r="N313">
        <v>0</v>
      </c>
      <c r="P313" t="s">
        <v>3</v>
      </c>
    </row>
    <row r="315" spans="1:50" x14ac:dyDescent="0.2">
      <c r="A315">
        <v>-1</v>
      </c>
    </row>
    <row r="317" spans="1:50" x14ac:dyDescent="0.2">
      <c r="A317" s="3">
        <v>75</v>
      </c>
      <c r="B317" s="3" t="s">
        <v>303</v>
      </c>
      <c r="C317" s="3">
        <v>2024</v>
      </c>
      <c r="D317" s="3">
        <v>0</v>
      </c>
      <c r="E317" s="3">
        <v>6</v>
      </c>
      <c r="F317" s="3">
        <v>1</v>
      </c>
      <c r="G317" s="3">
        <v>0</v>
      </c>
      <c r="H317" s="3">
        <v>1</v>
      </c>
      <c r="I317" s="3">
        <v>0</v>
      </c>
      <c r="J317" s="3">
        <v>3</v>
      </c>
      <c r="K317" s="3">
        <v>0</v>
      </c>
      <c r="L317" s="3">
        <v>0</v>
      </c>
      <c r="M317" s="3">
        <v>0</v>
      </c>
      <c r="N317" s="3">
        <v>61635504</v>
      </c>
      <c r="O317" s="3">
        <v>1</v>
      </c>
    </row>
    <row r="318" spans="1:50" x14ac:dyDescent="0.2">
      <c r="A318" s="5">
        <v>2</v>
      </c>
      <c r="B318" s="5" t="s">
        <v>304</v>
      </c>
      <c r="C318" s="5" t="s">
        <v>305</v>
      </c>
      <c r="D318" s="5">
        <v>0</v>
      </c>
      <c r="E318" s="5">
        <v>0</v>
      </c>
      <c r="F318" s="5">
        <v>0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>
        <v>61635505</v>
      </c>
    </row>
    <row r="319" spans="1:50" x14ac:dyDescent="0.2">
      <c r="A319" s="5">
        <v>1</v>
      </c>
      <c r="B319" s="5" t="s">
        <v>306</v>
      </c>
      <c r="C319" s="5" t="s">
        <v>307</v>
      </c>
      <c r="D319" s="5">
        <v>2024</v>
      </c>
      <c r="E319" s="5">
        <v>6</v>
      </c>
      <c r="F319" s="5">
        <v>1</v>
      </c>
      <c r="G319" s="5">
        <v>1</v>
      </c>
      <c r="H319" s="5">
        <v>0</v>
      </c>
      <c r="I319" s="5">
        <v>2</v>
      </c>
      <c r="J319" s="5">
        <v>1</v>
      </c>
      <c r="K319" s="5">
        <v>1</v>
      </c>
      <c r="L319" s="5">
        <v>1</v>
      </c>
      <c r="M319" s="5">
        <v>1</v>
      </c>
      <c r="N319" s="5">
        <v>1</v>
      </c>
      <c r="O319" s="5">
        <v>1</v>
      </c>
      <c r="P319" s="5">
        <v>1</v>
      </c>
      <c r="Q319" s="5">
        <v>1</v>
      </c>
      <c r="R319" s="5" t="s">
        <v>3</v>
      </c>
      <c r="S319" s="5" t="s">
        <v>3</v>
      </c>
      <c r="T319" s="5" t="s">
        <v>3</v>
      </c>
      <c r="U319" s="5" t="s">
        <v>3</v>
      </c>
      <c r="V319" s="5" t="s">
        <v>3</v>
      </c>
      <c r="W319" s="5" t="s">
        <v>3</v>
      </c>
      <c r="X319" s="5" t="s">
        <v>3</v>
      </c>
      <c r="Y319" s="5" t="s">
        <v>3</v>
      </c>
      <c r="Z319" s="5" t="s">
        <v>3</v>
      </c>
      <c r="AA319" s="5" t="s">
        <v>3</v>
      </c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>
        <v>61635506</v>
      </c>
      <c r="AO319" s="5" t="s">
        <v>308</v>
      </c>
      <c r="AP319" s="5" t="s">
        <v>309</v>
      </c>
      <c r="AQ319" s="5">
        <v>45435</v>
      </c>
      <c r="AR319" s="5">
        <v>337</v>
      </c>
      <c r="AS319" s="5" t="s">
        <v>310</v>
      </c>
      <c r="AT319" s="5" t="s">
        <v>3</v>
      </c>
      <c r="AU319" s="5" t="s">
        <v>309</v>
      </c>
      <c r="AV319" s="5"/>
      <c r="AW319" s="5">
        <v>0</v>
      </c>
      <c r="AX319" s="5" t="s">
        <v>311</v>
      </c>
    </row>
    <row r="323" spans="1:5" x14ac:dyDescent="0.2">
      <c r="A323">
        <v>65</v>
      </c>
      <c r="C323">
        <v>1</v>
      </c>
      <c r="D323">
        <v>0</v>
      </c>
      <c r="E32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312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10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45425</v>
      </c>
      <c r="CT12" s="1">
        <v>323</v>
      </c>
      <c r="CU12" s="1">
        <v>10</v>
      </c>
      <c r="CV12" s="1" t="s">
        <v>458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61635504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17</v>
      </c>
      <c r="E16" s="7">
        <f>ROUND((Source!F243)/1000,2)</f>
        <v>138.88</v>
      </c>
      <c r="F16" s="7">
        <f>ROUND((Source!F244)/1000,2)</f>
        <v>241.62</v>
      </c>
      <c r="G16" s="7">
        <f>ROUND((Source!F235)/1000,2)</f>
        <v>0</v>
      </c>
      <c r="H16" s="7">
        <f>ROUND((Source!F245)/1000+(Source!F246)/1000,2)</f>
        <v>5.54</v>
      </c>
      <c r="I16" s="7">
        <f>E16+F16+G16+H16</f>
        <v>386.04</v>
      </c>
      <c r="J16" s="7">
        <f>ROUND((Source!F241+Source!F240)/1000,2)</f>
        <v>89.27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249543.04000000001</v>
      </c>
      <c r="AU16" s="7">
        <v>79691.899999999994</v>
      </c>
      <c r="AV16" s="7">
        <v>0</v>
      </c>
      <c r="AW16" s="7">
        <v>0</v>
      </c>
      <c r="AX16" s="7">
        <v>0</v>
      </c>
      <c r="AY16" s="7">
        <v>68650.090000000011</v>
      </c>
      <c r="AZ16" s="7">
        <v>21590.559999999998</v>
      </c>
      <c r="BA16" s="7">
        <v>67679.19</v>
      </c>
      <c r="BB16" s="7">
        <v>138879.01999999999</v>
      </c>
      <c r="BC16" s="7">
        <v>241617.66</v>
      </c>
      <c r="BD16" s="7">
        <v>5536.8</v>
      </c>
      <c r="BE16" s="7">
        <v>0</v>
      </c>
      <c r="BF16" s="7">
        <v>159.10936000000001</v>
      </c>
      <c r="BG16" s="7">
        <v>39.298569999999998</v>
      </c>
      <c r="BH16" s="7">
        <v>0</v>
      </c>
      <c r="BI16" s="7">
        <v>88436.68</v>
      </c>
      <c r="BJ16" s="7">
        <v>48053.760000000002</v>
      </c>
      <c r="BK16" s="7">
        <v>386033.48</v>
      </c>
    </row>
    <row r="18" spans="1:19" x14ac:dyDescent="0.2">
      <c r="A18">
        <v>51</v>
      </c>
      <c r="E18" s="8">
        <f>SUMIF(A16:A17,3,E16:E17)</f>
        <v>138.88</v>
      </c>
      <c r="F18" s="8">
        <f>SUMIF(A16:A17,3,F16:F17)</f>
        <v>241.62</v>
      </c>
      <c r="G18" s="8">
        <f>SUMIF(A16:A17,3,G16:G17)</f>
        <v>0</v>
      </c>
      <c r="H18" s="8">
        <f>SUMIF(A16:A17,3,H16:H17)</f>
        <v>5.54</v>
      </c>
      <c r="I18" s="8">
        <f>SUMIF(A16:A17,3,I16:I17)</f>
        <v>386.04</v>
      </c>
      <c r="J18" s="8">
        <f>SUMIF(A16:A17,3,J16:J17)</f>
        <v>89.27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249543.03999999998</v>
      </c>
      <c r="G20" s="4" t="s">
        <v>52</v>
      </c>
      <c r="H20" s="4" t="s">
        <v>53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79691.899999999994</v>
      </c>
      <c r="G21" s="4" t="s">
        <v>54</v>
      </c>
      <c r="H21" s="4" t="s">
        <v>55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56</v>
      </c>
      <c r="H22" s="4" t="s">
        <v>57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79691.899999999994</v>
      </c>
      <c r="G23" s="4" t="s">
        <v>58</v>
      </c>
      <c r="H23" s="4" t="s">
        <v>59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79691.899999999994</v>
      </c>
      <c r="G24" s="4" t="s">
        <v>60</v>
      </c>
      <c r="H24" s="4" t="s">
        <v>61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62</v>
      </c>
      <c r="H25" s="4" t="s">
        <v>63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79691.899999999994</v>
      </c>
      <c r="G26" s="4" t="s">
        <v>64</v>
      </c>
      <c r="H26" s="4" t="s">
        <v>65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66</v>
      </c>
      <c r="H27" s="4" t="s">
        <v>67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68</v>
      </c>
      <c r="H28" s="4" t="s">
        <v>69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70</v>
      </c>
      <c r="H29" s="4" t="s">
        <v>71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68650.09</v>
      </c>
      <c r="G30" s="4" t="s">
        <v>72</v>
      </c>
      <c r="H30" s="4" t="s">
        <v>73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74</v>
      </c>
      <c r="H31" s="4" t="s">
        <v>75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21590.559999999998</v>
      </c>
      <c r="G32" s="4" t="s">
        <v>76</v>
      </c>
      <c r="H32" s="4" t="s">
        <v>77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67679.19</v>
      </c>
      <c r="G33" s="4" t="s">
        <v>78</v>
      </c>
      <c r="H33" s="4" t="s">
        <v>79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80</v>
      </c>
      <c r="H34" s="4" t="s">
        <v>81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138879.01999999999</v>
      </c>
      <c r="G35" s="4" t="s">
        <v>82</v>
      </c>
      <c r="H35" s="4" t="s">
        <v>83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241617.66</v>
      </c>
      <c r="G36" s="4" t="s">
        <v>84</v>
      </c>
      <c r="H36" s="4" t="s">
        <v>85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5536.8</v>
      </c>
      <c r="G37" s="4" t="s">
        <v>86</v>
      </c>
      <c r="H37" s="4" t="s">
        <v>87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88</v>
      </c>
      <c r="H38" s="4" t="s">
        <v>89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90</v>
      </c>
      <c r="H39" s="4" t="s">
        <v>91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159.10936000000001</v>
      </c>
      <c r="G40" s="4" t="s">
        <v>92</v>
      </c>
      <c r="H40" s="4" t="s">
        <v>93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39.298569999999998</v>
      </c>
      <c r="G41" s="4" t="s">
        <v>94</v>
      </c>
      <c r="H41" s="4" t="s">
        <v>95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96</v>
      </c>
      <c r="H42" s="4" t="s">
        <v>97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11931.3</v>
      </c>
      <c r="G43" s="4" t="s">
        <v>98</v>
      </c>
      <c r="H43" s="4" t="s">
        <v>99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88436.68</v>
      </c>
      <c r="G44" s="4" t="s">
        <v>100</v>
      </c>
      <c r="H44" s="4" t="s">
        <v>101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48053.760000000002</v>
      </c>
      <c r="G45" s="4" t="s">
        <v>102</v>
      </c>
      <c r="H45" s="4" t="s">
        <v>103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386033.48</v>
      </c>
      <c r="G46" s="4" t="s">
        <v>104</v>
      </c>
      <c r="H46" s="4" t="s">
        <v>105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303</v>
      </c>
      <c r="C51" s="3">
        <v>2024</v>
      </c>
      <c r="D51" s="3">
        <v>0</v>
      </c>
      <c r="E51" s="3">
        <v>6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61635504</v>
      </c>
      <c r="O51" s="3">
        <v>1</v>
      </c>
    </row>
    <row r="52" spans="1:50" x14ac:dyDescent="0.2">
      <c r="A52" s="5">
        <v>2</v>
      </c>
      <c r="B52" s="5" t="s">
        <v>304</v>
      </c>
      <c r="C52" s="5" t="s">
        <v>305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61635505</v>
      </c>
    </row>
    <row r="53" spans="1:50" x14ac:dyDescent="0.2">
      <c r="A53" s="5">
        <v>1</v>
      </c>
      <c r="B53" s="5" t="s">
        <v>306</v>
      </c>
      <c r="C53" s="5" t="s">
        <v>307</v>
      </c>
      <c r="D53" s="5">
        <v>2024</v>
      </c>
      <c r="E53" s="5">
        <v>6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61635506</v>
      </c>
      <c r="AO53" s="5" t="s">
        <v>308</v>
      </c>
      <c r="AP53" s="5" t="s">
        <v>309</v>
      </c>
      <c r="AQ53" s="5">
        <v>45435</v>
      </c>
      <c r="AR53" s="5">
        <v>337</v>
      </c>
      <c r="AS53" s="5" t="s">
        <v>310</v>
      </c>
      <c r="AT53" s="5" t="s">
        <v>3</v>
      </c>
      <c r="AU53" s="5" t="s">
        <v>309</v>
      </c>
      <c r="AV53" s="5"/>
      <c r="AW53" s="5">
        <v>0</v>
      </c>
      <c r="AX53" s="5" t="s">
        <v>311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8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61635504</v>
      </c>
      <c r="C1">
        <v>61636381</v>
      </c>
      <c r="D1">
        <v>60458132</v>
      </c>
      <c r="E1">
        <v>110</v>
      </c>
      <c r="F1">
        <v>1</v>
      </c>
      <c r="G1">
        <v>1</v>
      </c>
      <c r="H1">
        <v>1</v>
      </c>
      <c r="I1" t="s">
        <v>313</v>
      </c>
      <c r="J1" t="s">
        <v>3</v>
      </c>
      <c r="K1" t="s">
        <v>314</v>
      </c>
      <c r="L1">
        <v>1369</v>
      </c>
      <c r="N1">
        <v>1013</v>
      </c>
      <c r="O1" t="s">
        <v>315</v>
      </c>
      <c r="P1" t="s">
        <v>315</v>
      </c>
      <c r="Q1">
        <v>1</v>
      </c>
      <c r="W1">
        <v>0</v>
      </c>
      <c r="X1">
        <v>-236928766</v>
      </c>
      <c r="Y1">
        <f t="shared" ref="Y1:Y10" si="0">(AT1*ROUND(0.3,7))</f>
        <v>0.29699999999999999</v>
      </c>
      <c r="AA1">
        <v>0</v>
      </c>
      <c r="AB1">
        <v>0</v>
      </c>
      <c r="AC1">
        <v>0</v>
      </c>
      <c r="AD1">
        <v>354.06</v>
      </c>
      <c r="AE1">
        <v>0</v>
      </c>
      <c r="AF1">
        <v>0</v>
      </c>
      <c r="AG1">
        <v>0</v>
      </c>
      <c r="AH1">
        <v>354.06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0.99</v>
      </c>
      <c r="AU1" t="s">
        <v>27</v>
      </c>
      <c r="AV1">
        <v>1</v>
      </c>
      <c r="AW1">
        <v>2</v>
      </c>
      <c r="AX1">
        <v>61636440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350.51940000000002</v>
      </c>
      <c r="BN1">
        <v>0.99</v>
      </c>
      <c r="BO1">
        <v>0</v>
      </c>
      <c r="BP1">
        <v>1</v>
      </c>
      <c r="BQ1">
        <v>0</v>
      </c>
      <c r="BR1">
        <v>0</v>
      </c>
      <c r="BS1">
        <v>0</v>
      </c>
      <c r="BT1">
        <v>105.15581999999999</v>
      </c>
      <c r="BU1">
        <v>0.29699999999999999</v>
      </c>
      <c r="BV1">
        <v>0</v>
      </c>
      <c r="BW1">
        <v>1</v>
      </c>
      <c r="CU1">
        <f>ROUND(AT1*Source!I28*AH1*AL1,2)</f>
        <v>73.61</v>
      </c>
      <c r="CV1">
        <f>ROUND(Y1*Source!I28,7)</f>
        <v>6.2370000000000002E-2</v>
      </c>
      <c r="CW1">
        <v>0</v>
      </c>
      <c r="CX1">
        <f>ROUND(Y1*Source!I28,7)</f>
        <v>6.2370000000000002E-2</v>
      </c>
      <c r="CY1">
        <f>AD1</f>
        <v>354.06</v>
      </c>
      <c r="CZ1">
        <f>AH1</f>
        <v>354.06</v>
      </c>
      <c r="DA1">
        <f>AL1</f>
        <v>1</v>
      </c>
      <c r="DB1">
        <f t="shared" ref="DB1:DB10" si="1">ROUND((ROUND(AT1*CZ1,2)*ROUND(0.3,7)),6)</f>
        <v>105.15600000000001</v>
      </c>
      <c r="DC1">
        <f t="shared" ref="DC1:DC10" si="2">ROUND((ROUND(AT1*AG1,2)*ROUND(0.3,7)),6)</f>
        <v>0</v>
      </c>
      <c r="DD1" t="s">
        <v>3</v>
      </c>
      <c r="DE1" t="s">
        <v>3</v>
      </c>
      <c r="DF1">
        <f t="shared" ref="DF1:DF18" si="3">ROUND(ROUND(AE1,2)*CX1,2)</f>
        <v>0</v>
      </c>
      <c r="DG1">
        <f t="shared" ref="DG1:DG7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22.08</v>
      </c>
      <c r="DJ1">
        <f>DI1</f>
        <v>22.08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61635504</v>
      </c>
      <c r="C2">
        <v>61636381</v>
      </c>
      <c r="D2">
        <v>60458134</v>
      </c>
      <c r="E2">
        <v>110</v>
      </c>
      <c r="F2">
        <v>1</v>
      </c>
      <c r="G2">
        <v>1</v>
      </c>
      <c r="H2">
        <v>1</v>
      </c>
      <c r="I2" t="s">
        <v>316</v>
      </c>
      <c r="J2" t="s">
        <v>3</v>
      </c>
      <c r="K2" t="s">
        <v>317</v>
      </c>
      <c r="L2">
        <v>1369</v>
      </c>
      <c r="N2">
        <v>1013</v>
      </c>
      <c r="O2" t="s">
        <v>315</v>
      </c>
      <c r="P2" t="s">
        <v>315</v>
      </c>
      <c r="Q2">
        <v>1</v>
      </c>
      <c r="W2">
        <v>0</v>
      </c>
      <c r="X2">
        <v>-587036825</v>
      </c>
      <c r="Y2">
        <f t="shared" si="0"/>
        <v>14.186999999999999</v>
      </c>
      <c r="AA2">
        <v>0</v>
      </c>
      <c r="AB2">
        <v>0</v>
      </c>
      <c r="AC2">
        <v>0</v>
      </c>
      <c r="AD2">
        <v>386.55</v>
      </c>
      <c r="AE2">
        <v>0</v>
      </c>
      <c r="AF2">
        <v>0</v>
      </c>
      <c r="AG2">
        <v>0</v>
      </c>
      <c r="AH2">
        <v>386.55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47.29</v>
      </c>
      <c r="AU2" t="s">
        <v>27</v>
      </c>
      <c r="AV2">
        <v>1</v>
      </c>
      <c r="AW2">
        <v>2</v>
      </c>
      <c r="AX2">
        <v>61636441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18279.949499999999</v>
      </c>
      <c r="BN2">
        <v>47.29</v>
      </c>
      <c r="BO2">
        <v>0</v>
      </c>
      <c r="BP2">
        <v>1</v>
      </c>
      <c r="BQ2">
        <v>0</v>
      </c>
      <c r="BR2">
        <v>0</v>
      </c>
      <c r="BS2">
        <v>0</v>
      </c>
      <c r="BT2">
        <v>5483.9848499999998</v>
      </c>
      <c r="BU2">
        <v>14.186999999999999</v>
      </c>
      <c r="BV2">
        <v>0</v>
      </c>
      <c r="BW2">
        <v>1</v>
      </c>
      <c r="CU2">
        <f>ROUND(AT2*Source!I28*AH2*AL2,2)</f>
        <v>3838.79</v>
      </c>
      <c r="CV2">
        <f>ROUND(Y2*Source!I28,7)</f>
        <v>2.9792700000000001</v>
      </c>
      <c r="CW2">
        <v>0</v>
      </c>
      <c r="CX2">
        <f>ROUND(Y2*Source!I28,7)</f>
        <v>2.9792700000000001</v>
      </c>
      <c r="CY2">
        <f>AD2</f>
        <v>386.55</v>
      </c>
      <c r="CZ2">
        <f>AH2</f>
        <v>386.55</v>
      </c>
      <c r="DA2">
        <f>AL2</f>
        <v>1</v>
      </c>
      <c r="DB2">
        <f t="shared" si="1"/>
        <v>5483.9849999999997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 t="shared" si="4"/>
        <v>0</v>
      </c>
      <c r="DH2">
        <f t="shared" si="5"/>
        <v>0</v>
      </c>
      <c r="DI2">
        <f t="shared" si="6"/>
        <v>1151.6400000000001</v>
      </c>
      <c r="DJ2">
        <f>DI2</f>
        <v>1151.6400000000001</v>
      </c>
      <c r="DK2">
        <v>1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61635504</v>
      </c>
      <c r="C3">
        <v>61636381</v>
      </c>
      <c r="D3">
        <v>60458138</v>
      </c>
      <c r="E3">
        <v>110</v>
      </c>
      <c r="F3">
        <v>1</v>
      </c>
      <c r="G3">
        <v>1</v>
      </c>
      <c r="H3">
        <v>1</v>
      </c>
      <c r="I3" t="s">
        <v>318</v>
      </c>
      <c r="J3" t="s">
        <v>3</v>
      </c>
      <c r="K3" t="s">
        <v>319</v>
      </c>
      <c r="L3">
        <v>1369</v>
      </c>
      <c r="N3">
        <v>1013</v>
      </c>
      <c r="O3" t="s">
        <v>315</v>
      </c>
      <c r="P3" t="s">
        <v>315</v>
      </c>
      <c r="Q3">
        <v>1</v>
      </c>
      <c r="W3">
        <v>0</v>
      </c>
      <c r="X3">
        <v>-512803540</v>
      </c>
      <c r="Y3">
        <f t="shared" si="0"/>
        <v>7.0260000000000007</v>
      </c>
      <c r="AA3">
        <v>0</v>
      </c>
      <c r="AB3">
        <v>0</v>
      </c>
      <c r="AC3">
        <v>0</v>
      </c>
      <c r="AD3">
        <v>435.27</v>
      </c>
      <c r="AE3">
        <v>0</v>
      </c>
      <c r="AF3">
        <v>0</v>
      </c>
      <c r="AG3">
        <v>0</v>
      </c>
      <c r="AH3">
        <v>435.27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23.42</v>
      </c>
      <c r="AU3" t="s">
        <v>27</v>
      </c>
      <c r="AV3">
        <v>1</v>
      </c>
      <c r="AW3">
        <v>2</v>
      </c>
      <c r="AX3">
        <v>61636442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10194.0234</v>
      </c>
      <c r="BN3">
        <v>23.42</v>
      </c>
      <c r="BO3">
        <v>0</v>
      </c>
      <c r="BP3">
        <v>1</v>
      </c>
      <c r="BQ3">
        <v>0</v>
      </c>
      <c r="BR3">
        <v>0</v>
      </c>
      <c r="BS3">
        <v>0</v>
      </c>
      <c r="BT3">
        <v>3058.2070200000003</v>
      </c>
      <c r="BU3">
        <v>7.0260000000000007</v>
      </c>
      <c r="BV3">
        <v>0</v>
      </c>
      <c r="BW3">
        <v>1</v>
      </c>
      <c r="CU3">
        <f>ROUND(AT3*Source!I28*AH3*AL3,2)</f>
        <v>2140.7399999999998</v>
      </c>
      <c r="CV3">
        <f>ROUND(Y3*Source!I28,7)</f>
        <v>1.47546</v>
      </c>
      <c r="CW3">
        <v>0</v>
      </c>
      <c r="CX3">
        <f>ROUND(Y3*Source!I28,7)</f>
        <v>1.47546</v>
      </c>
      <c r="CY3">
        <f>AD3</f>
        <v>435.27</v>
      </c>
      <c r="CZ3">
        <f>AH3</f>
        <v>435.27</v>
      </c>
      <c r="DA3">
        <f>AL3</f>
        <v>1</v>
      </c>
      <c r="DB3">
        <f t="shared" si="1"/>
        <v>3058.2060000000001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642.22</v>
      </c>
      <c r="DJ3">
        <f>DI3</f>
        <v>642.22</v>
      </c>
      <c r="DK3">
        <v>1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61635504</v>
      </c>
      <c r="C4">
        <v>61636381</v>
      </c>
      <c r="D4">
        <v>60458140</v>
      </c>
      <c r="E4">
        <v>110</v>
      </c>
      <c r="F4">
        <v>1</v>
      </c>
      <c r="G4">
        <v>1</v>
      </c>
      <c r="H4">
        <v>1</v>
      </c>
      <c r="I4" t="s">
        <v>320</v>
      </c>
      <c r="J4" t="s">
        <v>3</v>
      </c>
      <c r="K4" t="s">
        <v>321</v>
      </c>
      <c r="L4">
        <v>1369</v>
      </c>
      <c r="N4">
        <v>1013</v>
      </c>
      <c r="O4" t="s">
        <v>315</v>
      </c>
      <c r="P4" t="s">
        <v>315</v>
      </c>
      <c r="Q4">
        <v>1</v>
      </c>
      <c r="W4">
        <v>0</v>
      </c>
      <c r="X4">
        <v>1518711480</v>
      </c>
      <c r="Y4">
        <f t="shared" si="0"/>
        <v>7.0260000000000007</v>
      </c>
      <c r="AA4">
        <v>0</v>
      </c>
      <c r="AB4">
        <v>0</v>
      </c>
      <c r="AC4">
        <v>0</v>
      </c>
      <c r="AD4">
        <v>500.24</v>
      </c>
      <c r="AE4">
        <v>0</v>
      </c>
      <c r="AF4">
        <v>0</v>
      </c>
      <c r="AG4">
        <v>0</v>
      </c>
      <c r="AH4">
        <v>500.24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23.42</v>
      </c>
      <c r="AU4" t="s">
        <v>27</v>
      </c>
      <c r="AV4">
        <v>1</v>
      </c>
      <c r="AW4">
        <v>2</v>
      </c>
      <c r="AX4">
        <v>61636443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11715.620800000001</v>
      </c>
      <c r="BN4">
        <v>23.42</v>
      </c>
      <c r="BO4">
        <v>0</v>
      </c>
      <c r="BP4">
        <v>1</v>
      </c>
      <c r="BQ4">
        <v>0</v>
      </c>
      <c r="BR4">
        <v>0</v>
      </c>
      <c r="BS4">
        <v>0</v>
      </c>
      <c r="BT4">
        <v>3514.6862400000005</v>
      </c>
      <c r="BU4">
        <v>7.0260000000000007</v>
      </c>
      <c r="BV4">
        <v>0</v>
      </c>
      <c r="BW4">
        <v>1</v>
      </c>
      <c r="CU4">
        <f>ROUND(AT4*Source!I28*AH4*AL4,2)</f>
        <v>2460.2800000000002</v>
      </c>
      <c r="CV4">
        <f>ROUND(Y4*Source!I28,7)</f>
        <v>1.47546</v>
      </c>
      <c r="CW4">
        <v>0</v>
      </c>
      <c r="CX4">
        <f>ROUND(Y4*Source!I28,7)</f>
        <v>1.47546</v>
      </c>
      <c r="CY4">
        <f>AD4</f>
        <v>500.24</v>
      </c>
      <c r="CZ4">
        <f>AH4</f>
        <v>500.24</v>
      </c>
      <c r="DA4">
        <f>AL4</f>
        <v>1</v>
      </c>
      <c r="DB4">
        <f t="shared" si="1"/>
        <v>3514.6860000000001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738.08</v>
      </c>
      <c r="DJ4">
        <f>DI4</f>
        <v>738.08</v>
      </c>
      <c r="DK4">
        <v>1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ROW(Source!A28)</f>
        <v>28</v>
      </c>
      <c r="B5">
        <v>61635504</v>
      </c>
      <c r="C5">
        <v>61636381</v>
      </c>
      <c r="D5">
        <v>60458172</v>
      </c>
      <c r="E5">
        <v>110</v>
      </c>
      <c r="F5">
        <v>1</v>
      </c>
      <c r="G5">
        <v>1</v>
      </c>
      <c r="H5">
        <v>1</v>
      </c>
      <c r="I5" t="s">
        <v>322</v>
      </c>
      <c r="J5" t="s">
        <v>3</v>
      </c>
      <c r="K5" t="s">
        <v>323</v>
      </c>
      <c r="L5">
        <v>1191</v>
      </c>
      <c r="N5">
        <v>1013</v>
      </c>
      <c r="O5" t="s">
        <v>324</v>
      </c>
      <c r="P5" t="s">
        <v>324</v>
      </c>
      <c r="Q5">
        <v>1</v>
      </c>
      <c r="W5">
        <v>0</v>
      </c>
      <c r="X5">
        <v>-1417349443</v>
      </c>
      <c r="Y5">
        <f t="shared" si="0"/>
        <v>7.4669999999999996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24.89</v>
      </c>
      <c r="AU5" t="s">
        <v>27</v>
      </c>
      <c r="AV5">
        <v>2</v>
      </c>
      <c r="AW5">
        <v>2</v>
      </c>
      <c r="AX5">
        <v>61636444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ROUND(Y5*Source!I28,7)</f>
        <v>1.5680700000000001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61635504</v>
      </c>
      <c r="C6">
        <v>61636381</v>
      </c>
      <c r="D6">
        <v>60465258</v>
      </c>
      <c r="E6">
        <v>1</v>
      </c>
      <c r="F6">
        <v>1</v>
      </c>
      <c r="G6">
        <v>1</v>
      </c>
      <c r="H6">
        <v>2</v>
      </c>
      <c r="I6" t="s">
        <v>325</v>
      </c>
      <c r="J6" t="s">
        <v>326</v>
      </c>
      <c r="K6" t="s">
        <v>327</v>
      </c>
      <c r="L6">
        <v>1368</v>
      </c>
      <c r="N6">
        <v>1011</v>
      </c>
      <c r="O6" t="s">
        <v>194</v>
      </c>
      <c r="P6" t="s">
        <v>194</v>
      </c>
      <c r="Q6">
        <v>1</v>
      </c>
      <c r="W6">
        <v>0</v>
      </c>
      <c r="X6">
        <v>-1112845829</v>
      </c>
      <c r="Y6">
        <f t="shared" si="0"/>
        <v>0.22499999999999998</v>
      </c>
      <c r="AA6">
        <v>0</v>
      </c>
      <c r="AB6">
        <v>1459.82</v>
      </c>
      <c r="AC6">
        <v>584.69000000000005</v>
      </c>
      <c r="AD6">
        <v>0</v>
      </c>
      <c r="AE6">
        <v>0</v>
      </c>
      <c r="AF6">
        <v>1459.82</v>
      </c>
      <c r="AG6">
        <v>584.69000000000005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0.75</v>
      </c>
      <c r="AU6" t="s">
        <v>27</v>
      </c>
      <c r="AV6">
        <v>1</v>
      </c>
      <c r="AW6">
        <v>2</v>
      </c>
      <c r="AX6">
        <v>61636445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1094.865</v>
      </c>
      <c r="BL6">
        <v>438.51750000000004</v>
      </c>
      <c r="BM6">
        <v>0</v>
      </c>
      <c r="BN6">
        <v>0</v>
      </c>
      <c r="BO6">
        <v>0.75</v>
      </c>
      <c r="BP6">
        <v>1</v>
      </c>
      <c r="BQ6">
        <v>0</v>
      </c>
      <c r="BR6">
        <v>328.45949999999993</v>
      </c>
      <c r="BS6">
        <v>131.55525</v>
      </c>
      <c r="BT6">
        <v>0</v>
      </c>
      <c r="BU6">
        <v>0</v>
      </c>
      <c r="BV6">
        <v>0.22499999999999998</v>
      </c>
      <c r="BW6">
        <v>1</v>
      </c>
      <c r="CV6">
        <v>0</v>
      </c>
      <c r="CW6">
        <f>ROUND(Y6*Source!I28*DO6,7)</f>
        <v>4.725E-2</v>
      </c>
      <c r="CX6">
        <f>ROUND(Y6*Source!I28,7)</f>
        <v>4.725E-2</v>
      </c>
      <c r="CY6">
        <f>AB6</f>
        <v>1459.82</v>
      </c>
      <c r="CZ6">
        <f>AF6</f>
        <v>1459.82</v>
      </c>
      <c r="DA6">
        <f>AJ6</f>
        <v>1</v>
      </c>
      <c r="DB6">
        <f t="shared" si="1"/>
        <v>328.46100000000001</v>
      </c>
      <c r="DC6">
        <f t="shared" si="2"/>
        <v>131.55600000000001</v>
      </c>
      <c r="DD6" t="s">
        <v>3</v>
      </c>
      <c r="DE6" t="s">
        <v>3</v>
      </c>
      <c r="DF6">
        <f t="shared" si="3"/>
        <v>0</v>
      </c>
      <c r="DG6">
        <f t="shared" si="4"/>
        <v>68.98</v>
      </c>
      <c r="DH6">
        <f t="shared" si="5"/>
        <v>27.63</v>
      </c>
      <c r="DI6">
        <f t="shared" si="6"/>
        <v>0</v>
      </c>
      <c r="DJ6">
        <f>DG6+DH6</f>
        <v>96.61</v>
      </c>
      <c r="DK6">
        <v>1</v>
      </c>
      <c r="DL6" t="s">
        <v>328</v>
      </c>
      <c r="DM6">
        <v>6</v>
      </c>
      <c r="DN6" t="s">
        <v>324</v>
      </c>
      <c r="DO6">
        <v>1</v>
      </c>
    </row>
    <row r="7" spans="1:119" x14ac:dyDescent="0.2">
      <c r="A7">
        <f>ROW(Source!A28)</f>
        <v>28</v>
      </c>
      <c r="B7">
        <v>61635504</v>
      </c>
      <c r="C7">
        <v>61636381</v>
      </c>
      <c r="D7">
        <v>60465392</v>
      </c>
      <c r="E7">
        <v>1</v>
      </c>
      <c r="F7">
        <v>1</v>
      </c>
      <c r="G7">
        <v>1</v>
      </c>
      <c r="H7">
        <v>2</v>
      </c>
      <c r="I7" t="s">
        <v>329</v>
      </c>
      <c r="J7" t="s">
        <v>330</v>
      </c>
      <c r="K7" t="s">
        <v>331</v>
      </c>
      <c r="L7">
        <v>1368</v>
      </c>
      <c r="N7">
        <v>1011</v>
      </c>
      <c r="O7" t="s">
        <v>194</v>
      </c>
      <c r="P7" t="s">
        <v>194</v>
      </c>
      <c r="Q7">
        <v>1</v>
      </c>
      <c r="W7">
        <v>0</v>
      </c>
      <c r="X7">
        <v>-963849347</v>
      </c>
      <c r="Y7">
        <f t="shared" si="0"/>
        <v>0.24299999999999999</v>
      </c>
      <c r="AA7">
        <v>0</v>
      </c>
      <c r="AB7">
        <v>15.06</v>
      </c>
      <c r="AC7">
        <v>0</v>
      </c>
      <c r="AD7">
        <v>0</v>
      </c>
      <c r="AE7">
        <v>0</v>
      </c>
      <c r="AF7">
        <v>15.06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0.81</v>
      </c>
      <c r="AU7" t="s">
        <v>27</v>
      </c>
      <c r="AV7">
        <v>1</v>
      </c>
      <c r="AW7">
        <v>2</v>
      </c>
      <c r="AX7">
        <v>61636446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12.198600000000001</v>
      </c>
      <c r="BL7">
        <v>0</v>
      </c>
      <c r="BM7">
        <v>0</v>
      </c>
      <c r="BN7">
        <v>0</v>
      </c>
      <c r="BO7">
        <v>0</v>
      </c>
      <c r="BP7">
        <v>1</v>
      </c>
      <c r="BQ7">
        <v>0</v>
      </c>
      <c r="BR7">
        <v>3.6595800000000001</v>
      </c>
      <c r="BS7">
        <v>0</v>
      </c>
      <c r="BT7">
        <v>0</v>
      </c>
      <c r="BU7">
        <v>0</v>
      </c>
      <c r="BV7">
        <v>0</v>
      </c>
      <c r="BW7">
        <v>1</v>
      </c>
      <c r="CV7">
        <v>0</v>
      </c>
      <c r="CW7">
        <f>ROUND(Y7*Source!I28*DO7,7)</f>
        <v>0</v>
      </c>
      <c r="CX7">
        <f>ROUND(Y7*Source!I28,7)</f>
        <v>5.1029999999999999E-2</v>
      </c>
      <c r="CY7">
        <f>AB7</f>
        <v>15.06</v>
      </c>
      <c r="CZ7">
        <f>AF7</f>
        <v>15.06</v>
      </c>
      <c r="DA7">
        <f>AJ7</f>
        <v>1</v>
      </c>
      <c r="DB7">
        <f t="shared" si="1"/>
        <v>3.66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0.77</v>
      </c>
      <c r="DH7">
        <f t="shared" si="5"/>
        <v>0</v>
      </c>
      <c r="DI7">
        <f t="shared" si="6"/>
        <v>0</v>
      </c>
      <c r="DJ7">
        <f>DG7+DH7</f>
        <v>0.77</v>
      </c>
      <c r="DK7">
        <v>1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61635504</v>
      </c>
      <c r="C8">
        <v>61636381</v>
      </c>
      <c r="D8">
        <v>60465431</v>
      </c>
      <c r="E8">
        <v>1</v>
      </c>
      <c r="F8">
        <v>1</v>
      </c>
      <c r="G8">
        <v>1</v>
      </c>
      <c r="H8">
        <v>2</v>
      </c>
      <c r="I8" t="s">
        <v>332</v>
      </c>
      <c r="J8" t="s">
        <v>333</v>
      </c>
      <c r="K8" t="s">
        <v>334</v>
      </c>
      <c r="L8">
        <v>1368</v>
      </c>
      <c r="N8">
        <v>1011</v>
      </c>
      <c r="O8" t="s">
        <v>194</v>
      </c>
      <c r="P8" t="s">
        <v>194</v>
      </c>
      <c r="Q8">
        <v>1</v>
      </c>
      <c r="W8">
        <v>0</v>
      </c>
      <c r="X8">
        <v>237993052</v>
      </c>
      <c r="Y8">
        <f t="shared" si="0"/>
        <v>6.8219999999999992</v>
      </c>
      <c r="AA8">
        <v>0</v>
      </c>
      <c r="AB8">
        <v>454.22</v>
      </c>
      <c r="AC8">
        <v>435.27</v>
      </c>
      <c r="AD8">
        <v>0</v>
      </c>
      <c r="AE8">
        <v>0</v>
      </c>
      <c r="AF8">
        <v>346.73</v>
      </c>
      <c r="AG8">
        <v>435.27</v>
      </c>
      <c r="AH8">
        <v>0</v>
      </c>
      <c r="AI8">
        <v>1</v>
      </c>
      <c r="AJ8">
        <v>1.31</v>
      </c>
      <c r="AK8">
        <v>1</v>
      </c>
      <c r="AL8">
        <v>1</v>
      </c>
      <c r="AM8">
        <v>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22.74</v>
      </c>
      <c r="AU8" t="s">
        <v>27</v>
      </c>
      <c r="AV8">
        <v>1</v>
      </c>
      <c r="AW8">
        <v>2</v>
      </c>
      <c r="AX8">
        <v>61636447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7884.6401999999998</v>
      </c>
      <c r="BL8">
        <v>9898.0397999999986</v>
      </c>
      <c r="BM8">
        <v>0</v>
      </c>
      <c r="BN8">
        <v>0</v>
      </c>
      <c r="BO8">
        <v>22.74</v>
      </c>
      <c r="BP8">
        <v>1</v>
      </c>
      <c r="BQ8">
        <v>0</v>
      </c>
      <c r="BR8">
        <v>2365.3920599999997</v>
      </c>
      <c r="BS8">
        <v>2969.4119399999995</v>
      </c>
      <c r="BT8">
        <v>0</v>
      </c>
      <c r="BU8">
        <v>0</v>
      </c>
      <c r="BV8">
        <v>6.8219999999999992</v>
      </c>
      <c r="BW8">
        <v>1</v>
      </c>
      <c r="CV8">
        <v>0</v>
      </c>
      <c r="CW8">
        <f>ROUND(Y8*Source!I28*DO8,7)</f>
        <v>1.43262</v>
      </c>
      <c r="CX8">
        <f>ROUND(Y8*Source!I28,7)</f>
        <v>1.43262</v>
      </c>
      <c r="CY8">
        <f>AB8</f>
        <v>454.22</v>
      </c>
      <c r="CZ8">
        <f>AF8</f>
        <v>346.73</v>
      </c>
      <c r="DA8">
        <f>AJ8</f>
        <v>1.31</v>
      </c>
      <c r="DB8">
        <f t="shared" si="1"/>
        <v>2365.3919999999998</v>
      </c>
      <c r="DC8">
        <f t="shared" si="2"/>
        <v>2969.4119999999998</v>
      </c>
      <c r="DD8" t="s">
        <v>3</v>
      </c>
      <c r="DE8" t="s">
        <v>3</v>
      </c>
      <c r="DF8">
        <f t="shared" si="3"/>
        <v>0</v>
      </c>
      <c r="DG8">
        <f>ROUND(ROUND(AF8*AJ8,2)*CX8,2)</f>
        <v>650.72</v>
      </c>
      <c r="DH8">
        <f t="shared" si="5"/>
        <v>623.58000000000004</v>
      </c>
      <c r="DI8">
        <f t="shared" si="6"/>
        <v>0</v>
      </c>
      <c r="DJ8">
        <f>DG8+DH8</f>
        <v>1274.3000000000002</v>
      </c>
      <c r="DK8">
        <v>1</v>
      </c>
      <c r="DL8" t="s">
        <v>335</v>
      </c>
      <c r="DM8">
        <v>4</v>
      </c>
      <c r="DN8" t="s">
        <v>324</v>
      </c>
      <c r="DO8">
        <v>1</v>
      </c>
    </row>
    <row r="9" spans="1:119" x14ac:dyDescent="0.2">
      <c r="A9">
        <f>ROW(Source!A28)</f>
        <v>28</v>
      </c>
      <c r="B9">
        <v>61635504</v>
      </c>
      <c r="C9">
        <v>61636381</v>
      </c>
      <c r="D9">
        <v>60466143</v>
      </c>
      <c r="E9">
        <v>1</v>
      </c>
      <c r="F9">
        <v>1</v>
      </c>
      <c r="G9">
        <v>1</v>
      </c>
      <c r="H9">
        <v>2</v>
      </c>
      <c r="I9" t="s">
        <v>336</v>
      </c>
      <c r="J9" t="s">
        <v>337</v>
      </c>
      <c r="K9" t="s">
        <v>338</v>
      </c>
      <c r="L9">
        <v>1368</v>
      </c>
      <c r="N9">
        <v>1011</v>
      </c>
      <c r="O9" t="s">
        <v>194</v>
      </c>
      <c r="P9" t="s">
        <v>194</v>
      </c>
      <c r="Q9">
        <v>1</v>
      </c>
      <c r="W9">
        <v>0</v>
      </c>
      <c r="X9">
        <v>-1006353707</v>
      </c>
      <c r="Y9">
        <f t="shared" si="0"/>
        <v>0.17699999999999999</v>
      </c>
      <c r="AA9">
        <v>0</v>
      </c>
      <c r="AB9">
        <v>568.72</v>
      </c>
      <c r="AC9">
        <v>435.27</v>
      </c>
      <c r="AD9">
        <v>0</v>
      </c>
      <c r="AE9">
        <v>0</v>
      </c>
      <c r="AF9">
        <v>477.92</v>
      </c>
      <c r="AG9">
        <v>435.27</v>
      </c>
      <c r="AH9">
        <v>0</v>
      </c>
      <c r="AI9">
        <v>1</v>
      </c>
      <c r="AJ9">
        <v>1.19</v>
      </c>
      <c r="AK9">
        <v>1</v>
      </c>
      <c r="AL9">
        <v>1</v>
      </c>
      <c r="AM9">
        <v>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0.59</v>
      </c>
      <c r="AU9" t="s">
        <v>27</v>
      </c>
      <c r="AV9">
        <v>1</v>
      </c>
      <c r="AW9">
        <v>2</v>
      </c>
      <c r="AX9">
        <v>61636448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281.97280000000001</v>
      </c>
      <c r="BL9">
        <v>256.80929999999995</v>
      </c>
      <c r="BM9">
        <v>0</v>
      </c>
      <c r="BN9">
        <v>0</v>
      </c>
      <c r="BO9">
        <v>0.59</v>
      </c>
      <c r="BP9">
        <v>1</v>
      </c>
      <c r="BQ9">
        <v>0</v>
      </c>
      <c r="BR9">
        <v>84.591840000000005</v>
      </c>
      <c r="BS9">
        <v>77.042789999999997</v>
      </c>
      <c r="BT9">
        <v>0</v>
      </c>
      <c r="BU9">
        <v>0</v>
      </c>
      <c r="BV9">
        <v>0.17699999999999999</v>
      </c>
      <c r="BW9">
        <v>1</v>
      </c>
      <c r="CV9">
        <v>0</v>
      </c>
      <c r="CW9">
        <f>ROUND(Y9*Source!I28*DO9,7)</f>
        <v>3.7170000000000002E-2</v>
      </c>
      <c r="CX9">
        <f>ROUND(Y9*Source!I28,7)</f>
        <v>3.7170000000000002E-2</v>
      </c>
      <c r="CY9">
        <f>AB9</f>
        <v>568.72</v>
      </c>
      <c r="CZ9">
        <f>AF9</f>
        <v>477.92</v>
      </c>
      <c r="DA9">
        <f>AJ9</f>
        <v>1.19</v>
      </c>
      <c r="DB9">
        <f t="shared" si="1"/>
        <v>84.590999999999994</v>
      </c>
      <c r="DC9">
        <f t="shared" si="2"/>
        <v>77.043000000000006</v>
      </c>
      <c r="DD9" t="s">
        <v>3</v>
      </c>
      <c r="DE9" t="s">
        <v>3</v>
      </c>
      <c r="DF9">
        <f t="shared" si="3"/>
        <v>0</v>
      </c>
      <c r="DG9">
        <f>ROUND(ROUND(AF9*AJ9,2)*CX9,2)</f>
        <v>21.14</v>
      </c>
      <c r="DH9">
        <f t="shared" si="5"/>
        <v>16.18</v>
      </c>
      <c r="DI9">
        <f t="shared" si="6"/>
        <v>0</v>
      </c>
      <c r="DJ9">
        <f>DG9+DH9</f>
        <v>37.32</v>
      </c>
      <c r="DK9">
        <v>1</v>
      </c>
      <c r="DL9" t="s">
        <v>335</v>
      </c>
      <c r="DM9">
        <v>4</v>
      </c>
      <c r="DN9" t="s">
        <v>324</v>
      </c>
      <c r="DO9">
        <v>1</v>
      </c>
    </row>
    <row r="10" spans="1:119" x14ac:dyDescent="0.2">
      <c r="A10">
        <f>ROW(Source!A28)</f>
        <v>28</v>
      </c>
      <c r="B10">
        <v>61635504</v>
      </c>
      <c r="C10">
        <v>61636381</v>
      </c>
      <c r="D10">
        <v>60466339</v>
      </c>
      <c r="E10">
        <v>1</v>
      </c>
      <c r="F10">
        <v>1</v>
      </c>
      <c r="G10">
        <v>1</v>
      </c>
      <c r="H10">
        <v>2</v>
      </c>
      <c r="I10" t="s">
        <v>339</v>
      </c>
      <c r="J10" t="s">
        <v>340</v>
      </c>
      <c r="K10" t="s">
        <v>341</v>
      </c>
      <c r="L10">
        <v>1368</v>
      </c>
      <c r="N10">
        <v>1011</v>
      </c>
      <c r="O10" t="s">
        <v>194</v>
      </c>
      <c r="P10" t="s">
        <v>194</v>
      </c>
      <c r="Q10">
        <v>1</v>
      </c>
      <c r="W10">
        <v>0</v>
      </c>
      <c r="X10">
        <v>788815233</v>
      </c>
      <c r="Y10">
        <f t="shared" si="0"/>
        <v>0.24299999999999999</v>
      </c>
      <c r="AA10">
        <v>0</v>
      </c>
      <c r="AB10">
        <v>170.84</v>
      </c>
      <c r="AC10">
        <v>435.27</v>
      </c>
      <c r="AD10">
        <v>0</v>
      </c>
      <c r="AE10">
        <v>0</v>
      </c>
      <c r="AF10">
        <v>170.84</v>
      </c>
      <c r="AG10">
        <v>435.27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0.81</v>
      </c>
      <c r="AU10" t="s">
        <v>27</v>
      </c>
      <c r="AV10">
        <v>1</v>
      </c>
      <c r="AW10">
        <v>2</v>
      </c>
      <c r="AX10">
        <v>61636449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138.38040000000001</v>
      </c>
      <c r="BL10">
        <v>352.56870000000004</v>
      </c>
      <c r="BM10">
        <v>0</v>
      </c>
      <c r="BN10">
        <v>0</v>
      </c>
      <c r="BO10">
        <v>0.81</v>
      </c>
      <c r="BP10">
        <v>1</v>
      </c>
      <c r="BQ10">
        <v>0</v>
      </c>
      <c r="BR10">
        <v>41.514119999999998</v>
      </c>
      <c r="BS10">
        <v>105.77060999999999</v>
      </c>
      <c r="BT10">
        <v>0</v>
      </c>
      <c r="BU10">
        <v>0</v>
      </c>
      <c r="BV10">
        <v>0.24299999999999999</v>
      </c>
      <c r="BW10">
        <v>1</v>
      </c>
      <c r="CV10">
        <v>0</v>
      </c>
      <c r="CW10">
        <f>ROUND(Y10*Source!I28*DO10,7)</f>
        <v>5.1029999999999999E-2</v>
      </c>
      <c r="CX10">
        <f>ROUND(Y10*Source!I28,7)</f>
        <v>5.1029999999999999E-2</v>
      </c>
      <c r="CY10">
        <f>AB10</f>
        <v>170.84</v>
      </c>
      <c r="CZ10">
        <f>AF10</f>
        <v>170.84</v>
      </c>
      <c r="DA10">
        <f>AJ10</f>
        <v>1</v>
      </c>
      <c r="DB10">
        <f t="shared" si="1"/>
        <v>41.514000000000003</v>
      </c>
      <c r="DC10">
        <f t="shared" si="2"/>
        <v>105.771</v>
      </c>
      <c r="DD10" t="s">
        <v>3</v>
      </c>
      <c r="DE10" t="s">
        <v>3</v>
      </c>
      <c r="DF10">
        <f t="shared" si="3"/>
        <v>0</v>
      </c>
      <c r="DG10">
        <f t="shared" ref="DG10:DG16" si="7">ROUND(ROUND(AF10,2)*CX10,2)</f>
        <v>8.7200000000000006</v>
      </c>
      <c r="DH10">
        <f t="shared" si="5"/>
        <v>22.21</v>
      </c>
      <c r="DI10">
        <f t="shared" si="6"/>
        <v>0</v>
      </c>
      <c r="DJ10">
        <f>DG10+DH10</f>
        <v>30.93</v>
      </c>
      <c r="DK10">
        <v>1</v>
      </c>
      <c r="DL10" t="s">
        <v>335</v>
      </c>
      <c r="DM10">
        <v>4</v>
      </c>
      <c r="DN10" t="s">
        <v>324</v>
      </c>
      <c r="DO10">
        <v>1</v>
      </c>
    </row>
    <row r="11" spans="1:119" x14ac:dyDescent="0.2">
      <c r="A11">
        <f>ROW(Source!A28)</f>
        <v>28</v>
      </c>
      <c r="B11">
        <v>61635504</v>
      </c>
      <c r="C11">
        <v>61636381</v>
      </c>
      <c r="D11">
        <v>60462598</v>
      </c>
      <c r="E11">
        <v>110</v>
      </c>
      <c r="F11">
        <v>1</v>
      </c>
      <c r="G11">
        <v>1</v>
      </c>
      <c r="H11">
        <v>3</v>
      </c>
      <c r="I11" t="s">
        <v>342</v>
      </c>
      <c r="J11" t="s">
        <v>3</v>
      </c>
      <c r="K11" t="s">
        <v>343</v>
      </c>
      <c r="L11">
        <v>1371</v>
      </c>
      <c r="N11">
        <v>1013</v>
      </c>
      <c r="O11" t="s">
        <v>126</v>
      </c>
      <c r="P11" t="s">
        <v>126</v>
      </c>
      <c r="Q11">
        <v>1</v>
      </c>
      <c r="W11">
        <v>0</v>
      </c>
      <c r="X11">
        <v>864875641</v>
      </c>
      <c r="Y11">
        <f>(AT11*ROUND(0,7))</f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1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</v>
      </c>
      <c r="AU11" t="s">
        <v>26</v>
      </c>
      <c r="AV11">
        <v>0</v>
      </c>
      <c r="AW11">
        <v>2</v>
      </c>
      <c r="AX11">
        <v>61636450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ROUND(Y11*Source!I28,7)</f>
        <v>0</v>
      </c>
      <c r="CY11">
        <f>AA11</f>
        <v>0</v>
      </c>
      <c r="CZ11">
        <f>AE11</f>
        <v>0</v>
      </c>
      <c r="DA11">
        <f>AI11</f>
        <v>1</v>
      </c>
      <c r="DB11">
        <f>ROUND((ROUND(AT11*CZ11,2)*ROUND(0,7)),6)</f>
        <v>0</v>
      </c>
      <c r="DC11">
        <f>ROUND((ROUND(AT11*AG11,2)*ROUND(0,7)),6)</f>
        <v>0</v>
      </c>
      <c r="DD11" t="s">
        <v>3</v>
      </c>
      <c r="DE11" t="s">
        <v>3</v>
      </c>
      <c r="DF11">
        <f t="shared" si="3"/>
        <v>0</v>
      </c>
      <c r="DG11">
        <f t="shared" si="7"/>
        <v>0</v>
      </c>
      <c r="DH11">
        <f t="shared" si="5"/>
        <v>0</v>
      </c>
      <c r="DI11">
        <f t="shared" si="6"/>
        <v>0</v>
      </c>
      <c r="DJ11">
        <f>DF11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ROW(Source!A28)</f>
        <v>28</v>
      </c>
      <c r="B12">
        <v>61635504</v>
      </c>
      <c r="C12">
        <v>61636381</v>
      </c>
      <c r="D12">
        <v>60462607</v>
      </c>
      <c r="E12">
        <v>110</v>
      </c>
      <c r="F12">
        <v>1</v>
      </c>
      <c r="G12">
        <v>1</v>
      </c>
      <c r="H12">
        <v>3</v>
      </c>
      <c r="I12" t="s">
        <v>344</v>
      </c>
      <c r="J12" t="s">
        <v>3</v>
      </c>
      <c r="K12" t="s">
        <v>345</v>
      </c>
      <c r="L12">
        <v>1371</v>
      </c>
      <c r="N12">
        <v>1013</v>
      </c>
      <c r="O12" t="s">
        <v>126</v>
      </c>
      <c r="P12" t="s">
        <v>126</v>
      </c>
      <c r="Q12">
        <v>1</v>
      </c>
      <c r="W12">
        <v>0</v>
      </c>
      <c r="X12">
        <v>-1890832814</v>
      </c>
      <c r="Y12">
        <f>(AT12*ROUND(0,7))</f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1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</v>
      </c>
      <c r="AU12" t="s">
        <v>26</v>
      </c>
      <c r="AV12">
        <v>0</v>
      </c>
      <c r="AW12">
        <v>2</v>
      </c>
      <c r="AX12">
        <v>61636451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ROUND(Y12*Source!I28,7)</f>
        <v>0</v>
      </c>
      <c r="CY12">
        <f>AA12</f>
        <v>0</v>
      </c>
      <c r="CZ12">
        <f>AE12</f>
        <v>0</v>
      </c>
      <c r="DA12">
        <f>AI12</f>
        <v>1</v>
      </c>
      <c r="DB12">
        <f>ROUND((ROUND(AT12*CZ12,2)*ROUND(0,7)),6)</f>
        <v>0</v>
      </c>
      <c r="DC12">
        <f>ROUND((ROUND(AT12*AG12,2)*ROUND(0,7)),6)</f>
        <v>0</v>
      </c>
      <c r="DD12" t="s">
        <v>3</v>
      </c>
      <c r="DE12" t="s">
        <v>3</v>
      </c>
      <c r="DF12">
        <f t="shared" si="3"/>
        <v>0</v>
      </c>
      <c r="DG12">
        <f t="shared" si="7"/>
        <v>0</v>
      </c>
      <c r="DH12">
        <f t="shared" si="5"/>
        <v>0</v>
      </c>
      <c r="DI12">
        <f t="shared" si="6"/>
        <v>0</v>
      </c>
      <c r="DJ12">
        <f>DF12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ROW(Source!A28)</f>
        <v>28</v>
      </c>
      <c r="B13">
        <v>61635504</v>
      </c>
      <c r="C13">
        <v>61636381</v>
      </c>
      <c r="D13">
        <v>60462763</v>
      </c>
      <c r="E13">
        <v>110</v>
      </c>
      <c r="F13">
        <v>1</v>
      </c>
      <c r="G13">
        <v>1</v>
      </c>
      <c r="H13">
        <v>3</v>
      </c>
      <c r="I13" t="s">
        <v>346</v>
      </c>
      <c r="J13" t="s">
        <v>3</v>
      </c>
      <c r="K13" t="s">
        <v>347</v>
      </c>
      <c r="L13">
        <v>1477</v>
      </c>
      <c r="N13">
        <v>1013</v>
      </c>
      <c r="O13" t="s">
        <v>23</v>
      </c>
      <c r="P13" t="s">
        <v>28</v>
      </c>
      <c r="Q13">
        <v>1</v>
      </c>
      <c r="W13">
        <v>0</v>
      </c>
      <c r="X13">
        <v>164804165</v>
      </c>
      <c r="Y13">
        <f>(AT13*ROUND(0,7))</f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1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0</v>
      </c>
      <c r="AU13" t="s">
        <v>26</v>
      </c>
      <c r="AV13">
        <v>0</v>
      </c>
      <c r="AW13">
        <v>2</v>
      </c>
      <c r="AX13">
        <v>61636452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ROUND(Y13*Source!I28,7)</f>
        <v>0</v>
      </c>
      <c r="CY13">
        <f>AA13</f>
        <v>0</v>
      </c>
      <c r="CZ13">
        <f>AE13</f>
        <v>0</v>
      </c>
      <c r="DA13">
        <f>AI13</f>
        <v>1</v>
      </c>
      <c r="DB13">
        <f>ROUND((ROUND(AT13*CZ13,2)*ROUND(0,7)),6)</f>
        <v>0</v>
      </c>
      <c r="DC13">
        <f>ROUND((ROUND(AT13*AG13,2)*ROUND(0,7)),6)</f>
        <v>0</v>
      </c>
      <c r="DD13" t="s">
        <v>3</v>
      </c>
      <c r="DE13" t="s">
        <v>3</v>
      </c>
      <c r="DF13">
        <f t="shared" si="3"/>
        <v>0</v>
      </c>
      <c r="DG13">
        <f t="shared" si="7"/>
        <v>0</v>
      </c>
      <c r="DH13">
        <f t="shared" si="5"/>
        <v>0</v>
      </c>
      <c r="DI13">
        <f t="shared" si="6"/>
        <v>0</v>
      </c>
      <c r="DJ13">
        <f>DF13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61635504</v>
      </c>
      <c r="C14">
        <v>61636339</v>
      </c>
      <c r="D14">
        <v>60458000</v>
      </c>
      <c r="E14">
        <v>110</v>
      </c>
      <c r="F14">
        <v>1</v>
      </c>
      <c r="G14">
        <v>1</v>
      </c>
      <c r="H14">
        <v>1</v>
      </c>
      <c r="I14" t="s">
        <v>348</v>
      </c>
      <c r="J14" t="s">
        <v>3</v>
      </c>
      <c r="K14" t="s">
        <v>349</v>
      </c>
      <c r="L14">
        <v>1191</v>
      </c>
      <c r="N14">
        <v>1013</v>
      </c>
      <c r="O14" t="s">
        <v>324</v>
      </c>
      <c r="P14" t="s">
        <v>324</v>
      </c>
      <c r="Q14">
        <v>1</v>
      </c>
      <c r="W14">
        <v>0</v>
      </c>
      <c r="X14">
        <v>-1111239348</v>
      </c>
      <c r="Y14">
        <f>(AT14*ROUND(0.3,7))</f>
        <v>12.360000000000001</v>
      </c>
      <c r="AA14">
        <v>0</v>
      </c>
      <c r="AB14">
        <v>0</v>
      </c>
      <c r="AC14">
        <v>0</v>
      </c>
      <c r="AD14">
        <v>435.27</v>
      </c>
      <c r="AE14">
        <v>0</v>
      </c>
      <c r="AF14">
        <v>0</v>
      </c>
      <c r="AG14">
        <v>0</v>
      </c>
      <c r="AH14">
        <v>435.27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41.2</v>
      </c>
      <c r="AU14" t="s">
        <v>27</v>
      </c>
      <c r="AV14">
        <v>1</v>
      </c>
      <c r="AW14">
        <v>2</v>
      </c>
      <c r="AX14">
        <v>61636453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17933.124</v>
      </c>
      <c r="BN14">
        <v>41.2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5379.9372000000003</v>
      </c>
      <c r="BU14">
        <v>12.360000000000001</v>
      </c>
      <c r="BV14">
        <v>0</v>
      </c>
      <c r="BW14">
        <v>1</v>
      </c>
      <c r="CU14">
        <f>ROUND(AT14*Source!I29*AH14*AL14,2)</f>
        <v>1075.99</v>
      </c>
      <c r="CV14">
        <f>ROUND(Y14*Source!I29,7)</f>
        <v>0.74160000000000004</v>
      </c>
      <c r="CW14">
        <v>0</v>
      </c>
      <c r="CX14">
        <f>ROUND(Y14*Source!I29,7)</f>
        <v>0.74160000000000004</v>
      </c>
      <c r="CY14">
        <f>AD14</f>
        <v>435.27</v>
      </c>
      <c r="CZ14">
        <f>AH14</f>
        <v>435.27</v>
      </c>
      <c r="DA14">
        <f>AL14</f>
        <v>1</v>
      </c>
      <c r="DB14">
        <f>ROUND((ROUND(AT14*CZ14,2)*ROUND(0.3,7)),6)</f>
        <v>5379.9359999999997</v>
      </c>
      <c r="DC14">
        <f>ROUND((ROUND(AT14*AG14,2)*ROUND(0.3,7)),6)</f>
        <v>0</v>
      </c>
      <c r="DD14" t="s">
        <v>3</v>
      </c>
      <c r="DE14" t="s">
        <v>3</v>
      </c>
      <c r="DF14">
        <f t="shared" si="3"/>
        <v>0</v>
      </c>
      <c r="DG14">
        <f t="shared" si="7"/>
        <v>0</v>
      </c>
      <c r="DH14">
        <f t="shared" si="5"/>
        <v>0</v>
      </c>
      <c r="DI14">
        <f t="shared" si="6"/>
        <v>322.8</v>
      </c>
      <c r="DJ14">
        <f>DI14</f>
        <v>322.8</v>
      </c>
      <c r="DK14">
        <v>1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ROW(Source!A29)</f>
        <v>29</v>
      </c>
      <c r="B15">
        <v>61635504</v>
      </c>
      <c r="C15">
        <v>61636339</v>
      </c>
      <c r="D15">
        <v>60458172</v>
      </c>
      <c r="E15">
        <v>110</v>
      </c>
      <c r="F15">
        <v>1</v>
      </c>
      <c r="G15">
        <v>1</v>
      </c>
      <c r="H15">
        <v>1</v>
      </c>
      <c r="I15" t="s">
        <v>322</v>
      </c>
      <c r="J15" t="s">
        <v>3</v>
      </c>
      <c r="K15" t="s">
        <v>323</v>
      </c>
      <c r="L15">
        <v>1191</v>
      </c>
      <c r="N15">
        <v>1013</v>
      </c>
      <c r="O15" t="s">
        <v>324</v>
      </c>
      <c r="P15" t="s">
        <v>324</v>
      </c>
      <c r="Q15">
        <v>1</v>
      </c>
      <c r="W15">
        <v>0</v>
      </c>
      <c r="X15">
        <v>-1417349443</v>
      </c>
      <c r="Y15">
        <f>(AT15*ROUND(0.3,7))</f>
        <v>0.06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0.2</v>
      </c>
      <c r="AU15" t="s">
        <v>27</v>
      </c>
      <c r="AV15">
        <v>2</v>
      </c>
      <c r="AW15">
        <v>2</v>
      </c>
      <c r="AX15">
        <v>61636454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ROUND(Y15*Source!I29,7)</f>
        <v>3.5999999999999999E-3</v>
      </c>
      <c r="CY15">
        <f>AD15</f>
        <v>0</v>
      </c>
      <c r="CZ15">
        <f>AH15</f>
        <v>0</v>
      </c>
      <c r="DA15">
        <f>AL15</f>
        <v>1</v>
      </c>
      <c r="DB15">
        <f>ROUND((ROUND(AT15*CZ15,2)*ROUND(0.3,7)),6)</f>
        <v>0</v>
      </c>
      <c r="DC15">
        <f>ROUND((ROUND(AT15*AG15,2)*ROUND(0.3,7)),6)</f>
        <v>0</v>
      </c>
      <c r="DD15" t="s">
        <v>3</v>
      </c>
      <c r="DE15" t="s">
        <v>3</v>
      </c>
      <c r="DF15">
        <f t="shared" si="3"/>
        <v>0</v>
      </c>
      <c r="DG15">
        <f t="shared" si="7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ROW(Source!A29)</f>
        <v>29</v>
      </c>
      <c r="B16">
        <v>61635504</v>
      </c>
      <c r="C16">
        <v>61636339</v>
      </c>
      <c r="D16">
        <v>60465258</v>
      </c>
      <c r="E16">
        <v>1</v>
      </c>
      <c r="F16">
        <v>1</v>
      </c>
      <c r="G16">
        <v>1</v>
      </c>
      <c r="H16">
        <v>2</v>
      </c>
      <c r="I16" t="s">
        <v>325</v>
      </c>
      <c r="J16" t="s">
        <v>326</v>
      </c>
      <c r="K16" t="s">
        <v>327</v>
      </c>
      <c r="L16">
        <v>1368</v>
      </c>
      <c r="N16">
        <v>1011</v>
      </c>
      <c r="O16" t="s">
        <v>194</v>
      </c>
      <c r="P16" t="s">
        <v>194</v>
      </c>
      <c r="Q16">
        <v>1</v>
      </c>
      <c r="W16">
        <v>0</v>
      </c>
      <c r="X16">
        <v>-1112845829</v>
      </c>
      <c r="Y16">
        <f>(AT16*ROUND(0.3,7))</f>
        <v>0.03</v>
      </c>
      <c r="AA16">
        <v>0</v>
      </c>
      <c r="AB16">
        <v>1459.82</v>
      </c>
      <c r="AC16">
        <v>584.69000000000005</v>
      </c>
      <c r="AD16">
        <v>0</v>
      </c>
      <c r="AE16">
        <v>0</v>
      </c>
      <c r="AF16">
        <v>1459.82</v>
      </c>
      <c r="AG16">
        <v>584.69000000000005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0.1</v>
      </c>
      <c r="AU16" t="s">
        <v>27</v>
      </c>
      <c r="AV16">
        <v>1</v>
      </c>
      <c r="AW16">
        <v>2</v>
      </c>
      <c r="AX16">
        <v>61636455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145.982</v>
      </c>
      <c r="BL16">
        <v>58.469000000000008</v>
      </c>
      <c r="BM16">
        <v>0</v>
      </c>
      <c r="BN16">
        <v>0</v>
      </c>
      <c r="BO16">
        <v>0.1</v>
      </c>
      <c r="BP16">
        <v>1</v>
      </c>
      <c r="BQ16">
        <v>0</v>
      </c>
      <c r="BR16">
        <v>43.794599999999996</v>
      </c>
      <c r="BS16">
        <v>17.540700000000001</v>
      </c>
      <c r="BT16">
        <v>0</v>
      </c>
      <c r="BU16">
        <v>0</v>
      </c>
      <c r="BV16">
        <v>0.03</v>
      </c>
      <c r="BW16">
        <v>1</v>
      </c>
      <c r="CV16">
        <v>0</v>
      </c>
      <c r="CW16">
        <f>ROUND(Y16*Source!I29*DO16,7)</f>
        <v>1.8E-3</v>
      </c>
      <c r="CX16">
        <f>ROUND(Y16*Source!I29,7)</f>
        <v>1.8E-3</v>
      </c>
      <c r="CY16">
        <f>AB16</f>
        <v>1459.82</v>
      </c>
      <c r="CZ16">
        <f>AF16</f>
        <v>1459.82</v>
      </c>
      <c r="DA16">
        <f>AJ16</f>
        <v>1</v>
      </c>
      <c r="DB16">
        <f>ROUND((ROUND(AT16*CZ16,2)*ROUND(0.3,7)),6)</f>
        <v>43.793999999999997</v>
      </c>
      <c r="DC16">
        <f>ROUND((ROUND(AT16*AG16,2)*ROUND(0.3,7)),6)</f>
        <v>17.541</v>
      </c>
      <c r="DD16" t="s">
        <v>3</v>
      </c>
      <c r="DE16" t="s">
        <v>3</v>
      </c>
      <c r="DF16">
        <f t="shared" si="3"/>
        <v>0</v>
      </c>
      <c r="DG16">
        <f t="shared" si="7"/>
        <v>2.63</v>
      </c>
      <c r="DH16">
        <f t="shared" si="5"/>
        <v>1.05</v>
      </c>
      <c r="DI16">
        <f t="shared" si="6"/>
        <v>0</v>
      </c>
      <c r="DJ16">
        <f>DG16+DH16</f>
        <v>3.6799999999999997</v>
      </c>
      <c r="DK16">
        <v>1</v>
      </c>
      <c r="DL16" t="s">
        <v>328</v>
      </c>
      <c r="DM16">
        <v>6</v>
      </c>
      <c r="DN16" t="s">
        <v>324</v>
      </c>
      <c r="DO16">
        <v>1</v>
      </c>
    </row>
    <row r="17" spans="1:119" x14ac:dyDescent="0.2">
      <c r="A17">
        <f>ROW(Source!A29)</f>
        <v>29</v>
      </c>
      <c r="B17">
        <v>61635504</v>
      </c>
      <c r="C17">
        <v>61636339</v>
      </c>
      <c r="D17">
        <v>60466143</v>
      </c>
      <c r="E17">
        <v>1</v>
      </c>
      <c r="F17">
        <v>1</v>
      </c>
      <c r="G17">
        <v>1</v>
      </c>
      <c r="H17">
        <v>2</v>
      </c>
      <c r="I17" t="s">
        <v>336</v>
      </c>
      <c r="J17" t="s">
        <v>337</v>
      </c>
      <c r="K17" t="s">
        <v>338</v>
      </c>
      <c r="L17">
        <v>1368</v>
      </c>
      <c r="N17">
        <v>1011</v>
      </c>
      <c r="O17" t="s">
        <v>194</v>
      </c>
      <c r="P17" t="s">
        <v>194</v>
      </c>
      <c r="Q17">
        <v>1</v>
      </c>
      <c r="W17">
        <v>0</v>
      </c>
      <c r="X17">
        <v>-1006353707</v>
      </c>
      <c r="Y17">
        <f>(AT17*ROUND(0.3,7))</f>
        <v>0.03</v>
      </c>
      <c r="AA17">
        <v>0</v>
      </c>
      <c r="AB17">
        <v>568.72</v>
      </c>
      <c r="AC17">
        <v>435.27</v>
      </c>
      <c r="AD17">
        <v>0</v>
      </c>
      <c r="AE17">
        <v>0</v>
      </c>
      <c r="AF17">
        <v>477.92</v>
      </c>
      <c r="AG17">
        <v>435.27</v>
      </c>
      <c r="AH17">
        <v>0</v>
      </c>
      <c r="AI17">
        <v>1</v>
      </c>
      <c r="AJ17">
        <v>1.19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0.1</v>
      </c>
      <c r="AU17" t="s">
        <v>27</v>
      </c>
      <c r="AV17">
        <v>1</v>
      </c>
      <c r="AW17">
        <v>2</v>
      </c>
      <c r="AX17">
        <v>61636456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47.792000000000002</v>
      </c>
      <c r="BL17">
        <v>43.527000000000001</v>
      </c>
      <c r="BM17">
        <v>0</v>
      </c>
      <c r="BN17">
        <v>0</v>
      </c>
      <c r="BO17">
        <v>0.1</v>
      </c>
      <c r="BP17">
        <v>1</v>
      </c>
      <c r="BQ17">
        <v>0</v>
      </c>
      <c r="BR17">
        <v>14.3376</v>
      </c>
      <c r="BS17">
        <v>13.0581</v>
      </c>
      <c r="BT17">
        <v>0</v>
      </c>
      <c r="BU17">
        <v>0</v>
      </c>
      <c r="BV17">
        <v>0.03</v>
      </c>
      <c r="BW17">
        <v>1</v>
      </c>
      <c r="CV17">
        <v>0</v>
      </c>
      <c r="CW17">
        <f>ROUND(Y17*Source!I29*DO17,7)</f>
        <v>1.8E-3</v>
      </c>
      <c r="CX17">
        <f>ROUND(Y17*Source!I29,7)</f>
        <v>1.8E-3</v>
      </c>
      <c r="CY17">
        <f>AB17</f>
        <v>568.72</v>
      </c>
      <c r="CZ17">
        <f>AF17</f>
        <v>477.92</v>
      </c>
      <c r="DA17">
        <f>AJ17</f>
        <v>1.19</v>
      </c>
      <c r="DB17">
        <f>ROUND((ROUND(AT17*CZ17,2)*ROUND(0.3,7)),6)</f>
        <v>14.337</v>
      </c>
      <c r="DC17">
        <f>ROUND((ROUND(AT17*AG17,2)*ROUND(0.3,7)),6)</f>
        <v>13.058999999999999</v>
      </c>
      <c r="DD17" t="s">
        <v>3</v>
      </c>
      <c r="DE17" t="s">
        <v>3</v>
      </c>
      <c r="DF17">
        <f t="shared" si="3"/>
        <v>0</v>
      </c>
      <c r="DG17">
        <f>ROUND(ROUND(AF17*AJ17,2)*CX17,2)</f>
        <v>1.02</v>
      </c>
      <c r="DH17">
        <f t="shared" si="5"/>
        <v>0.78</v>
      </c>
      <c r="DI17">
        <f t="shared" si="6"/>
        <v>0</v>
      </c>
      <c r="DJ17">
        <f>DG17+DH17</f>
        <v>1.8</v>
      </c>
      <c r="DK17">
        <v>1</v>
      </c>
      <c r="DL17" t="s">
        <v>335</v>
      </c>
      <c r="DM17">
        <v>4</v>
      </c>
      <c r="DN17" t="s">
        <v>324</v>
      </c>
      <c r="DO17">
        <v>1</v>
      </c>
    </row>
    <row r="18" spans="1:119" x14ac:dyDescent="0.2">
      <c r="A18">
        <f>ROW(Source!A29)</f>
        <v>29</v>
      </c>
      <c r="B18">
        <v>61635504</v>
      </c>
      <c r="C18">
        <v>61636339</v>
      </c>
      <c r="D18">
        <v>60466337</v>
      </c>
      <c r="E18">
        <v>1</v>
      </c>
      <c r="F18">
        <v>1</v>
      </c>
      <c r="G18">
        <v>1</v>
      </c>
      <c r="H18">
        <v>2</v>
      </c>
      <c r="I18" t="s">
        <v>350</v>
      </c>
      <c r="J18" t="s">
        <v>351</v>
      </c>
      <c r="K18" t="s">
        <v>352</v>
      </c>
      <c r="L18">
        <v>1368</v>
      </c>
      <c r="N18">
        <v>1011</v>
      </c>
      <c r="O18" t="s">
        <v>194</v>
      </c>
      <c r="P18" t="s">
        <v>194</v>
      </c>
      <c r="Q18">
        <v>1</v>
      </c>
      <c r="W18">
        <v>0</v>
      </c>
      <c r="X18">
        <v>-103238006</v>
      </c>
      <c r="Y18">
        <f>(AT18*ROUND(0.3,7))</f>
        <v>4.8000000000000001E-2</v>
      </c>
      <c r="AA18">
        <v>0</v>
      </c>
      <c r="AB18">
        <v>25.86</v>
      </c>
      <c r="AC18">
        <v>0</v>
      </c>
      <c r="AD18">
        <v>0</v>
      </c>
      <c r="AE18">
        <v>0</v>
      </c>
      <c r="AF18">
        <v>25.86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0.16</v>
      </c>
      <c r="AU18" t="s">
        <v>27</v>
      </c>
      <c r="AV18">
        <v>1</v>
      </c>
      <c r="AW18">
        <v>2</v>
      </c>
      <c r="AX18">
        <v>61636457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4.1375999999999999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1.2412799999999999</v>
      </c>
      <c r="BS18">
        <v>0</v>
      </c>
      <c r="BT18">
        <v>0</v>
      </c>
      <c r="BU18">
        <v>0</v>
      </c>
      <c r="BV18">
        <v>0</v>
      </c>
      <c r="BW18">
        <v>1</v>
      </c>
      <c r="CV18">
        <v>0</v>
      </c>
      <c r="CW18">
        <f>ROUND(Y18*Source!I29*DO18,7)</f>
        <v>0</v>
      </c>
      <c r="CX18">
        <f>ROUND(Y18*Source!I29,7)</f>
        <v>2.8800000000000002E-3</v>
      </c>
      <c r="CY18">
        <f>AB18</f>
        <v>25.86</v>
      </c>
      <c r="CZ18">
        <f>AF18</f>
        <v>25.86</v>
      </c>
      <c r="DA18">
        <f>AJ18</f>
        <v>1</v>
      </c>
      <c r="DB18">
        <f>ROUND((ROUND(AT18*CZ18,2)*ROUND(0.3,7)),6)</f>
        <v>1.242</v>
      </c>
      <c r="DC18">
        <f>ROUND((ROUND(AT18*AG18,2)*ROUND(0.3,7)),6)</f>
        <v>0</v>
      </c>
      <c r="DD18" t="s">
        <v>3</v>
      </c>
      <c r="DE18" t="s">
        <v>3</v>
      </c>
      <c r="DF18">
        <f t="shared" si="3"/>
        <v>0</v>
      </c>
      <c r="DG18">
        <f t="shared" ref="DG18:DG24" si="8">ROUND(ROUND(AF18,2)*CX18,2)</f>
        <v>7.0000000000000007E-2</v>
      </c>
      <c r="DH18">
        <f t="shared" si="5"/>
        <v>0</v>
      </c>
      <c r="DI18">
        <f t="shared" si="6"/>
        <v>0</v>
      </c>
      <c r="DJ18">
        <f>DG18+DH18</f>
        <v>7.0000000000000007E-2</v>
      </c>
      <c r="DK18">
        <v>1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ROW(Source!A29)</f>
        <v>29</v>
      </c>
      <c r="B19">
        <v>61635504</v>
      </c>
      <c r="C19">
        <v>61636339</v>
      </c>
      <c r="D19">
        <v>60539739</v>
      </c>
      <c r="E19">
        <v>1</v>
      </c>
      <c r="F19">
        <v>1</v>
      </c>
      <c r="G19">
        <v>1</v>
      </c>
      <c r="H19">
        <v>3</v>
      </c>
      <c r="I19" t="s">
        <v>353</v>
      </c>
      <c r="J19" t="s">
        <v>354</v>
      </c>
      <c r="K19" t="s">
        <v>355</v>
      </c>
      <c r="L19">
        <v>1348</v>
      </c>
      <c r="N19">
        <v>1009</v>
      </c>
      <c r="O19" t="s">
        <v>356</v>
      </c>
      <c r="P19" t="s">
        <v>356</v>
      </c>
      <c r="Q19">
        <v>1000</v>
      </c>
      <c r="W19">
        <v>0</v>
      </c>
      <c r="X19">
        <v>-1068221380</v>
      </c>
      <c r="Y19">
        <f>(AT19*ROUND(0,7))</f>
        <v>0</v>
      </c>
      <c r="AA19">
        <v>62576.3</v>
      </c>
      <c r="AB19">
        <v>0</v>
      </c>
      <c r="AC19">
        <v>0</v>
      </c>
      <c r="AD19">
        <v>0</v>
      </c>
      <c r="AE19">
        <v>70310.45</v>
      </c>
      <c r="AF19">
        <v>0</v>
      </c>
      <c r="AG19">
        <v>0</v>
      </c>
      <c r="AH19">
        <v>0</v>
      </c>
      <c r="AI19">
        <v>0.89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3.0000000000000001E-3</v>
      </c>
      <c r="AU19" t="s">
        <v>26</v>
      </c>
      <c r="AV19">
        <v>0</v>
      </c>
      <c r="AW19">
        <v>2</v>
      </c>
      <c r="AX19">
        <v>61636458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210.93135000000001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ROUND(Y19*Source!I29,7)</f>
        <v>0</v>
      </c>
      <c r="CY19">
        <f>AA19</f>
        <v>62576.3</v>
      </c>
      <c r="CZ19">
        <f>AE19</f>
        <v>70310.45</v>
      </c>
      <c r="DA19">
        <f>AI19</f>
        <v>0.89</v>
      </c>
      <c r="DB19">
        <f>ROUND((ROUND(AT19*CZ19,2)*ROUND(0,7)),6)</f>
        <v>0</v>
      </c>
      <c r="DC19">
        <f>ROUND((ROUND(AT19*AG19,2)*ROUND(0,7)),6)</f>
        <v>0</v>
      </c>
      <c r="DD19" t="s">
        <v>3</v>
      </c>
      <c r="DE19" t="s">
        <v>3</v>
      </c>
      <c r="DF19">
        <f>ROUND(ROUND(AE19*AI19,2)*CX19,2)</f>
        <v>0</v>
      </c>
      <c r="DG19">
        <f t="shared" si="8"/>
        <v>0</v>
      </c>
      <c r="DH19">
        <f t="shared" si="5"/>
        <v>0</v>
      </c>
      <c r="DI19">
        <f t="shared" si="6"/>
        <v>0</v>
      </c>
      <c r="DJ19">
        <f>DF19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ROW(Source!A29)</f>
        <v>29</v>
      </c>
      <c r="B20">
        <v>61635504</v>
      </c>
      <c r="C20">
        <v>61636339</v>
      </c>
      <c r="D20">
        <v>60549173</v>
      </c>
      <c r="E20">
        <v>1</v>
      </c>
      <c r="F20">
        <v>1</v>
      </c>
      <c r="G20">
        <v>1</v>
      </c>
      <c r="H20">
        <v>3</v>
      </c>
      <c r="I20" t="s">
        <v>357</v>
      </c>
      <c r="J20" t="s">
        <v>358</v>
      </c>
      <c r="K20" t="s">
        <v>359</v>
      </c>
      <c r="L20">
        <v>1346</v>
      </c>
      <c r="N20">
        <v>1009</v>
      </c>
      <c r="O20" t="s">
        <v>176</v>
      </c>
      <c r="P20" t="s">
        <v>176</v>
      </c>
      <c r="Q20">
        <v>1</v>
      </c>
      <c r="W20">
        <v>0</v>
      </c>
      <c r="X20">
        <v>801841253</v>
      </c>
      <c r="Y20">
        <f>(AT20*ROUND(0,7))</f>
        <v>0</v>
      </c>
      <c r="AA20">
        <v>104.64</v>
      </c>
      <c r="AB20">
        <v>0</v>
      </c>
      <c r="AC20">
        <v>0</v>
      </c>
      <c r="AD20">
        <v>0</v>
      </c>
      <c r="AE20">
        <v>79.88</v>
      </c>
      <c r="AF20">
        <v>0</v>
      </c>
      <c r="AG20">
        <v>0</v>
      </c>
      <c r="AH20">
        <v>0</v>
      </c>
      <c r="AI20">
        <v>1.31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0.8</v>
      </c>
      <c r="AU20" t="s">
        <v>26</v>
      </c>
      <c r="AV20">
        <v>0</v>
      </c>
      <c r="AW20">
        <v>2</v>
      </c>
      <c r="AX20">
        <v>61636459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63.903999999999996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ROUND(Y20*Source!I29,7)</f>
        <v>0</v>
      </c>
      <c r="CY20">
        <f>AA20</f>
        <v>104.64</v>
      </c>
      <c r="CZ20">
        <f>AE20</f>
        <v>79.88</v>
      </c>
      <c r="DA20">
        <f>AI20</f>
        <v>1.31</v>
      </c>
      <c r="DB20">
        <f>ROUND((ROUND(AT20*CZ20,2)*ROUND(0,7)),6)</f>
        <v>0</v>
      </c>
      <c r="DC20">
        <f>ROUND((ROUND(AT20*AG20,2)*ROUND(0,7)),6)</f>
        <v>0</v>
      </c>
      <c r="DD20" t="s">
        <v>3</v>
      </c>
      <c r="DE20" t="s">
        <v>3</v>
      </c>
      <c r="DF20">
        <f>ROUND(ROUND(AE20*AI20,2)*CX20,2)</f>
        <v>0</v>
      </c>
      <c r="DG20">
        <f t="shared" si="8"/>
        <v>0</v>
      </c>
      <c r="DH20">
        <f t="shared" si="5"/>
        <v>0</v>
      </c>
      <c r="DI20">
        <f t="shared" si="6"/>
        <v>0</v>
      </c>
      <c r="DJ20">
        <f>DF20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ROW(Source!A29)</f>
        <v>29</v>
      </c>
      <c r="B21">
        <v>61635504</v>
      </c>
      <c r="C21">
        <v>61636339</v>
      </c>
      <c r="D21">
        <v>60559328</v>
      </c>
      <c r="E21">
        <v>1</v>
      </c>
      <c r="F21">
        <v>1</v>
      </c>
      <c r="G21">
        <v>1</v>
      </c>
      <c r="H21">
        <v>3</v>
      </c>
      <c r="I21" t="s">
        <v>360</v>
      </c>
      <c r="J21" t="s">
        <v>361</v>
      </c>
      <c r="K21" t="s">
        <v>362</v>
      </c>
      <c r="L21">
        <v>1425</v>
      </c>
      <c r="N21">
        <v>1013</v>
      </c>
      <c r="O21" t="s">
        <v>38</v>
      </c>
      <c r="P21" t="s">
        <v>38</v>
      </c>
      <c r="Q21">
        <v>1</v>
      </c>
      <c r="W21">
        <v>0</v>
      </c>
      <c r="X21">
        <v>-599708484</v>
      </c>
      <c r="Y21">
        <f>(AT21*ROUND(0,7))</f>
        <v>0</v>
      </c>
      <c r="AA21">
        <v>932.37</v>
      </c>
      <c r="AB21">
        <v>0</v>
      </c>
      <c r="AC21">
        <v>0</v>
      </c>
      <c r="AD21">
        <v>0</v>
      </c>
      <c r="AE21">
        <v>896.51</v>
      </c>
      <c r="AF21">
        <v>0</v>
      </c>
      <c r="AG21">
        <v>0</v>
      </c>
      <c r="AH21">
        <v>0</v>
      </c>
      <c r="AI21">
        <v>1.04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1.02</v>
      </c>
      <c r="AU21" t="s">
        <v>26</v>
      </c>
      <c r="AV21">
        <v>0</v>
      </c>
      <c r="AW21">
        <v>2</v>
      </c>
      <c r="AX21">
        <v>61636460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914.4402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ROUND(Y21*Source!I29,7)</f>
        <v>0</v>
      </c>
      <c r="CY21">
        <f>AA21</f>
        <v>932.37</v>
      </c>
      <c r="CZ21">
        <f>AE21</f>
        <v>896.51</v>
      </c>
      <c r="DA21">
        <f>AI21</f>
        <v>1.04</v>
      </c>
      <c r="DB21">
        <f>ROUND((ROUND(AT21*CZ21,2)*ROUND(0,7)),6)</f>
        <v>0</v>
      </c>
      <c r="DC21">
        <f>ROUND((ROUND(AT21*AG21,2)*ROUND(0,7)),6)</f>
        <v>0</v>
      </c>
      <c r="DD21" t="s">
        <v>3</v>
      </c>
      <c r="DE21" t="s">
        <v>3</v>
      </c>
      <c r="DF21">
        <f>ROUND(ROUND(AE21*AI21,2)*CX21,2)</f>
        <v>0</v>
      </c>
      <c r="DG21">
        <f t="shared" si="8"/>
        <v>0</v>
      </c>
      <c r="DH21">
        <f t="shared" si="5"/>
        <v>0</v>
      </c>
      <c r="DI21">
        <f t="shared" si="6"/>
        <v>0</v>
      </c>
      <c r="DJ21">
        <f>DF21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ROW(Source!A29)</f>
        <v>29</v>
      </c>
      <c r="B22">
        <v>61635504</v>
      </c>
      <c r="C22">
        <v>61636339</v>
      </c>
      <c r="D22">
        <v>60463688</v>
      </c>
      <c r="E22">
        <v>110</v>
      </c>
      <c r="F22">
        <v>1</v>
      </c>
      <c r="G22">
        <v>1</v>
      </c>
      <c r="H22">
        <v>3</v>
      </c>
      <c r="I22" t="s">
        <v>363</v>
      </c>
      <c r="J22" t="s">
        <v>3</v>
      </c>
      <c r="K22" t="s">
        <v>364</v>
      </c>
      <c r="L22">
        <v>3277935</v>
      </c>
      <c r="N22">
        <v>1013</v>
      </c>
      <c r="O22" t="s">
        <v>365</v>
      </c>
      <c r="P22" t="s">
        <v>365</v>
      </c>
      <c r="Q22">
        <v>1</v>
      </c>
      <c r="W22">
        <v>0</v>
      </c>
      <c r="X22">
        <v>274903907</v>
      </c>
      <c r="Y22">
        <f t="shared" ref="Y22:Y53" si="9">AT22</f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2</v>
      </c>
      <c r="AU22" t="s">
        <v>3</v>
      </c>
      <c r="AV22">
        <v>0</v>
      </c>
      <c r="AW22">
        <v>2</v>
      </c>
      <c r="AX22">
        <v>61636461</v>
      </c>
      <c r="AY22">
        <v>1</v>
      </c>
      <c r="AZ22">
        <v>2048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ROUND(Y22*Source!I29,7)</f>
        <v>0.12</v>
      </c>
      <c r="CY22">
        <f>AA22</f>
        <v>0</v>
      </c>
      <c r="CZ22">
        <f>AE22</f>
        <v>0</v>
      </c>
      <c r="DA22">
        <f>AI22</f>
        <v>1</v>
      </c>
      <c r="DB22">
        <f t="shared" ref="DB22:DB53" si="10">ROUND(ROUND(AT22*CZ22,2),6)</f>
        <v>0</v>
      </c>
      <c r="DC22">
        <f t="shared" ref="DC22:DC53" si="11">ROUND(ROUND(AT22*AG22,2),6)</f>
        <v>0</v>
      </c>
      <c r="DD22" t="s">
        <v>3</v>
      </c>
      <c r="DE22" t="s">
        <v>3</v>
      </c>
      <c r="DF22">
        <f t="shared" ref="DF22:DF44" si="12">ROUND(ROUND(AE22,2)*CX22,2)</f>
        <v>0</v>
      </c>
      <c r="DG22">
        <f t="shared" si="8"/>
        <v>0</v>
      </c>
      <c r="DH22">
        <f t="shared" si="5"/>
        <v>0</v>
      </c>
      <c r="DI22">
        <f t="shared" si="6"/>
        <v>0</v>
      </c>
      <c r="DJ22">
        <f>DF22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ROW(Source!A30)</f>
        <v>30</v>
      </c>
      <c r="B23">
        <v>61635504</v>
      </c>
      <c r="C23">
        <v>61635651</v>
      </c>
      <c r="D23">
        <v>60457956</v>
      </c>
      <c r="E23">
        <v>110</v>
      </c>
      <c r="F23">
        <v>1</v>
      </c>
      <c r="G23">
        <v>1</v>
      </c>
      <c r="H23">
        <v>1</v>
      </c>
      <c r="I23" t="s">
        <v>366</v>
      </c>
      <c r="J23" t="s">
        <v>3</v>
      </c>
      <c r="K23" t="s">
        <v>367</v>
      </c>
      <c r="L23">
        <v>1191</v>
      </c>
      <c r="N23">
        <v>1013</v>
      </c>
      <c r="O23" t="s">
        <v>324</v>
      </c>
      <c r="P23" t="s">
        <v>324</v>
      </c>
      <c r="Q23">
        <v>1</v>
      </c>
      <c r="W23">
        <v>0</v>
      </c>
      <c r="X23">
        <v>388411409</v>
      </c>
      <c r="Y23">
        <f t="shared" si="9"/>
        <v>1.03</v>
      </c>
      <c r="AA23">
        <v>0</v>
      </c>
      <c r="AB23">
        <v>0</v>
      </c>
      <c r="AC23">
        <v>0</v>
      </c>
      <c r="AD23">
        <v>370.31</v>
      </c>
      <c r="AE23">
        <v>0</v>
      </c>
      <c r="AF23">
        <v>0</v>
      </c>
      <c r="AG23">
        <v>0</v>
      </c>
      <c r="AH23">
        <v>370.31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1.03</v>
      </c>
      <c r="AU23" t="s">
        <v>3</v>
      </c>
      <c r="AV23">
        <v>1</v>
      </c>
      <c r="AW23">
        <v>2</v>
      </c>
      <c r="AX23">
        <v>61636463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381.41930000000002</v>
      </c>
      <c r="BN23">
        <v>1.03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381.41930000000002</v>
      </c>
      <c r="BU23">
        <v>1.03</v>
      </c>
      <c r="BV23">
        <v>0</v>
      </c>
      <c r="BW23">
        <v>1</v>
      </c>
      <c r="CU23">
        <f>ROUND(AT23*Source!I30*AH23*AL23,2)</f>
        <v>3051.35</v>
      </c>
      <c r="CV23">
        <f>ROUND(Y23*Source!I30,7)</f>
        <v>8.24</v>
      </c>
      <c r="CW23">
        <v>0</v>
      </c>
      <c r="CX23">
        <f>ROUND(Y23*Source!I30,7)</f>
        <v>8.24</v>
      </c>
      <c r="CY23">
        <f>AD23</f>
        <v>370.31</v>
      </c>
      <c r="CZ23">
        <f>AH23</f>
        <v>370.31</v>
      </c>
      <c r="DA23">
        <f>AL23</f>
        <v>1</v>
      </c>
      <c r="DB23">
        <f t="shared" si="10"/>
        <v>381.42</v>
      </c>
      <c r="DC23">
        <f t="shared" si="11"/>
        <v>0</v>
      </c>
      <c r="DD23" t="s">
        <v>3</v>
      </c>
      <c r="DE23" t="s">
        <v>3</v>
      </c>
      <c r="DF23">
        <f t="shared" si="12"/>
        <v>0</v>
      </c>
      <c r="DG23">
        <f t="shared" si="8"/>
        <v>0</v>
      </c>
      <c r="DH23">
        <f t="shared" si="5"/>
        <v>0</v>
      </c>
      <c r="DI23">
        <f t="shared" si="6"/>
        <v>3051.35</v>
      </c>
      <c r="DJ23">
        <f>DI23</f>
        <v>3051.35</v>
      </c>
      <c r="DK23">
        <v>1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ROW(Source!A30)</f>
        <v>30</v>
      </c>
      <c r="B24">
        <v>61635504</v>
      </c>
      <c r="C24">
        <v>61635651</v>
      </c>
      <c r="D24">
        <v>60458172</v>
      </c>
      <c r="E24">
        <v>110</v>
      </c>
      <c r="F24">
        <v>1</v>
      </c>
      <c r="G24">
        <v>1</v>
      </c>
      <c r="H24">
        <v>1</v>
      </c>
      <c r="I24" t="s">
        <v>322</v>
      </c>
      <c r="J24" t="s">
        <v>3</v>
      </c>
      <c r="K24" t="s">
        <v>323</v>
      </c>
      <c r="L24">
        <v>1191</v>
      </c>
      <c r="N24">
        <v>1013</v>
      </c>
      <c r="O24" t="s">
        <v>324</v>
      </c>
      <c r="P24" t="s">
        <v>324</v>
      </c>
      <c r="Q24">
        <v>1</v>
      </c>
      <c r="W24">
        <v>0</v>
      </c>
      <c r="X24">
        <v>-1417349443</v>
      </c>
      <c r="Y24">
        <f t="shared" si="9"/>
        <v>0.05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0.05</v>
      </c>
      <c r="AU24" t="s">
        <v>3</v>
      </c>
      <c r="AV24">
        <v>2</v>
      </c>
      <c r="AW24">
        <v>2</v>
      </c>
      <c r="AX24">
        <v>61636464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ROUND(Y24*Source!I30,7)</f>
        <v>0.4</v>
      </c>
      <c r="CY24">
        <f>AD24</f>
        <v>0</v>
      </c>
      <c r="CZ24">
        <f>AH24</f>
        <v>0</v>
      </c>
      <c r="DA24">
        <f>AL24</f>
        <v>1</v>
      </c>
      <c r="DB24">
        <f t="shared" si="10"/>
        <v>0</v>
      </c>
      <c r="DC24">
        <f t="shared" si="11"/>
        <v>0</v>
      </c>
      <c r="DD24" t="s">
        <v>3</v>
      </c>
      <c r="DE24" t="s">
        <v>3</v>
      </c>
      <c r="DF24">
        <f t="shared" si="12"/>
        <v>0</v>
      </c>
      <c r="DG24">
        <f t="shared" si="8"/>
        <v>0</v>
      </c>
      <c r="DH24">
        <f t="shared" si="5"/>
        <v>0</v>
      </c>
      <c r="DI24">
        <f t="shared" si="6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ROW(Source!A30)</f>
        <v>30</v>
      </c>
      <c r="B25">
        <v>61635504</v>
      </c>
      <c r="C25">
        <v>61635651</v>
      </c>
      <c r="D25">
        <v>60466143</v>
      </c>
      <c r="E25">
        <v>1</v>
      </c>
      <c r="F25">
        <v>1</v>
      </c>
      <c r="G25">
        <v>1</v>
      </c>
      <c r="H25">
        <v>2</v>
      </c>
      <c r="I25" t="s">
        <v>336</v>
      </c>
      <c r="J25" t="s">
        <v>337</v>
      </c>
      <c r="K25" t="s">
        <v>338</v>
      </c>
      <c r="L25">
        <v>1368</v>
      </c>
      <c r="N25">
        <v>1011</v>
      </c>
      <c r="O25" t="s">
        <v>194</v>
      </c>
      <c r="P25" t="s">
        <v>194</v>
      </c>
      <c r="Q25">
        <v>1</v>
      </c>
      <c r="W25">
        <v>0</v>
      </c>
      <c r="X25">
        <v>-1006353707</v>
      </c>
      <c r="Y25">
        <f t="shared" si="9"/>
        <v>0.05</v>
      </c>
      <c r="AA25">
        <v>0</v>
      </c>
      <c r="AB25">
        <v>568.72</v>
      </c>
      <c r="AC25">
        <v>435.27</v>
      </c>
      <c r="AD25">
        <v>0</v>
      </c>
      <c r="AE25">
        <v>0</v>
      </c>
      <c r="AF25">
        <v>477.92</v>
      </c>
      <c r="AG25">
        <v>435.27</v>
      </c>
      <c r="AH25">
        <v>0</v>
      </c>
      <c r="AI25">
        <v>1</v>
      </c>
      <c r="AJ25">
        <v>1.19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0.05</v>
      </c>
      <c r="AU25" t="s">
        <v>3</v>
      </c>
      <c r="AV25">
        <v>1</v>
      </c>
      <c r="AW25">
        <v>2</v>
      </c>
      <c r="AX25">
        <v>61636465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23.896000000000001</v>
      </c>
      <c r="BL25">
        <v>21.763500000000001</v>
      </c>
      <c r="BM25">
        <v>0</v>
      </c>
      <c r="BN25">
        <v>0</v>
      </c>
      <c r="BO25">
        <v>0.05</v>
      </c>
      <c r="BP25">
        <v>1</v>
      </c>
      <c r="BQ25">
        <v>0</v>
      </c>
      <c r="BR25">
        <v>23.896000000000001</v>
      </c>
      <c r="BS25">
        <v>21.763500000000001</v>
      </c>
      <c r="BT25">
        <v>0</v>
      </c>
      <c r="BU25">
        <v>0</v>
      </c>
      <c r="BV25">
        <v>0.05</v>
      </c>
      <c r="BW25">
        <v>1</v>
      </c>
      <c r="CV25">
        <v>0</v>
      </c>
      <c r="CW25">
        <f>ROUND(Y25*Source!I30*DO25,7)</f>
        <v>0.4</v>
      </c>
      <c r="CX25">
        <f>ROUND(Y25*Source!I30,7)</f>
        <v>0.4</v>
      </c>
      <c r="CY25">
        <f>AB25</f>
        <v>568.72</v>
      </c>
      <c r="CZ25">
        <f>AF25</f>
        <v>477.92</v>
      </c>
      <c r="DA25">
        <f>AJ25</f>
        <v>1.19</v>
      </c>
      <c r="DB25">
        <f t="shared" si="10"/>
        <v>23.9</v>
      </c>
      <c r="DC25">
        <f t="shared" si="11"/>
        <v>21.76</v>
      </c>
      <c r="DD25" t="s">
        <v>3</v>
      </c>
      <c r="DE25" t="s">
        <v>3</v>
      </c>
      <c r="DF25">
        <f t="shared" si="12"/>
        <v>0</v>
      </c>
      <c r="DG25">
        <f>ROUND(ROUND(AF25*AJ25,2)*CX25,2)</f>
        <v>227.49</v>
      </c>
      <c r="DH25">
        <f t="shared" si="5"/>
        <v>174.11</v>
      </c>
      <c r="DI25">
        <f t="shared" si="6"/>
        <v>0</v>
      </c>
      <c r="DJ25">
        <f>DG25+DH25</f>
        <v>401.6</v>
      </c>
      <c r="DK25">
        <v>1</v>
      </c>
      <c r="DL25" t="s">
        <v>335</v>
      </c>
      <c r="DM25">
        <v>4</v>
      </c>
      <c r="DN25" t="s">
        <v>324</v>
      </c>
      <c r="DO25">
        <v>1</v>
      </c>
    </row>
    <row r="26" spans="1:119" x14ac:dyDescent="0.2">
      <c r="A26">
        <f>ROW(Source!A66)</f>
        <v>66</v>
      </c>
      <c r="B26">
        <v>61635504</v>
      </c>
      <c r="C26">
        <v>61635919</v>
      </c>
      <c r="D26">
        <v>60458132</v>
      </c>
      <c r="E26">
        <v>110</v>
      </c>
      <c r="F26">
        <v>1</v>
      </c>
      <c r="G26">
        <v>1</v>
      </c>
      <c r="H26">
        <v>1</v>
      </c>
      <c r="I26" t="s">
        <v>313</v>
      </c>
      <c r="J26" t="s">
        <v>3</v>
      </c>
      <c r="K26" t="s">
        <v>314</v>
      </c>
      <c r="L26">
        <v>1369</v>
      </c>
      <c r="N26">
        <v>1013</v>
      </c>
      <c r="O26" t="s">
        <v>315</v>
      </c>
      <c r="P26" t="s">
        <v>315</v>
      </c>
      <c r="Q26">
        <v>1</v>
      </c>
      <c r="W26">
        <v>0</v>
      </c>
      <c r="X26">
        <v>-236928766</v>
      </c>
      <c r="Y26">
        <f t="shared" si="9"/>
        <v>0.99</v>
      </c>
      <c r="AA26">
        <v>0</v>
      </c>
      <c r="AB26">
        <v>0</v>
      </c>
      <c r="AC26">
        <v>0</v>
      </c>
      <c r="AD26">
        <v>354.06</v>
      </c>
      <c r="AE26">
        <v>0</v>
      </c>
      <c r="AF26">
        <v>0</v>
      </c>
      <c r="AG26">
        <v>0</v>
      </c>
      <c r="AH26">
        <v>354.06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0.99</v>
      </c>
      <c r="AU26" t="s">
        <v>3</v>
      </c>
      <c r="AV26">
        <v>1</v>
      </c>
      <c r="AW26">
        <v>2</v>
      </c>
      <c r="AX26">
        <v>61636466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350.51940000000002</v>
      </c>
      <c r="BN26">
        <v>0.99</v>
      </c>
      <c r="BO26">
        <v>0</v>
      </c>
      <c r="BP26">
        <v>1</v>
      </c>
      <c r="BQ26">
        <v>0</v>
      </c>
      <c r="BR26">
        <v>0</v>
      </c>
      <c r="BS26">
        <v>0</v>
      </c>
      <c r="BT26">
        <v>350.51940000000002</v>
      </c>
      <c r="BU26">
        <v>0.99</v>
      </c>
      <c r="BV26">
        <v>0</v>
      </c>
      <c r="BW26">
        <v>1</v>
      </c>
      <c r="CU26">
        <f>ROUND(AT26*Source!I66*AH26*AL26,2)</f>
        <v>73.61</v>
      </c>
      <c r="CV26">
        <f>ROUND(Y26*Source!I66,7)</f>
        <v>0.2079</v>
      </c>
      <c r="CW26">
        <v>0</v>
      </c>
      <c r="CX26">
        <f>ROUND(Y26*Source!I66,7)</f>
        <v>0.2079</v>
      </c>
      <c r="CY26">
        <f>AD26</f>
        <v>354.06</v>
      </c>
      <c r="CZ26">
        <f>AH26</f>
        <v>354.06</v>
      </c>
      <c r="DA26">
        <f>AL26</f>
        <v>1</v>
      </c>
      <c r="DB26">
        <f t="shared" si="10"/>
        <v>350.52</v>
      </c>
      <c r="DC26">
        <f t="shared" si="11"/>
        <v>0</v>
      </c>
      <c r="DD26" t="s">
        <v>3</v>
      </c>
      <c r="DE26" t="s">
        <v>3</v>
      </c>
      <c r="DF26">
        <f t="shared" si="12"/>
        <v>0</v>
      </c>
      <c r="DG26">
        <f t="shared" ref="DG26:DG32" si="13">ROUND(ROUND(AF26,2)*CX26,2)</f>
        <v>0</v>
      </c>
      <c r="DH26">
        <f t="shared" si="5"/>
        <v>0</v>
      </c>
      <c r="DI26">
        <f t="shared" si="6"/>
        <v>73.61</v>
      </c>
      <c r="DJ26">
        <f>DI26</f>
        <v>73.61</v>
      </c>
      <c r="DK26">
        <v>1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ROW(Source!A66)</f>
        <v>66</v>
      </c>
      <c r="B27">
        <v>61635504</v>
      </c>
      <c r="C27">
        <v>61635919</v>
      </c>
      <c r="D27">
        <v>60458134</v>
      </c>
      <c r="E27">
        <v>110</v>
      </c>
      <c r="F27">
        <v>1</v>
      </c>
      <c r="G27">
        <v>1</v>
      </c>
      <c r="H27">
        <v>1</v>
      </c>
      <c r="I27" t="s">
        <v>316</v>
      </c>
      <c r="J27" t="s">
        <v>3</v>
      </c>
      <c r="K27" t="s">
        <v>317</v>
      </c>
      <c r="L27">
        <v>1369</v>
      </c>
      <c r="N27">
        <v>1013</v>
      </c>
      <c r="O27" t="s">
        <v>315</v>
      </c>
      <c r="P27" t="s">
        <v>315</v>
      </c>
      <c r="Q27">
        <v>1</v>
      </c>
      <c r="W27">
        <v>0</v>
      </c>
      <c r="X27">
        <v>-587036825</v>
      </c>
      <c r="Y27">
        <f t="shared" si="9"/>
        <v>47.29</v>
      </c>
      <c r="AA27">
        <v>0</v>
      </c>
      <c r="AB27">
        <v>0</v>
      </c>
      <c r="AC27">
        <v>0</v>
      </c>
      <c r="AD27">
        <v>386.55</v>
      </c>
      <c r="AE27">
        <v>0</v>
      </c>
      <c r="AF27">
        <v>0</v>
      </c>
      <c r="AG27">
        <v>0</v>
      </c>
      <c r="AH27">
        <v>386.55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47.29</v>
      </c>
      <c r="AU27" t="s">
        <v>3</v>
      </c>
      <c r="AV27">
        <v>1</v>
      </c>
      <c r="AW27">
        <v>2</v>
      </c>
      <c r="AX27">
        <v>61636467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18279.949499999999</v>
      </c>
      <c r="BN27">
        <v>47.29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18279.949499999999</v>
      </c>
      <c r="BU27">
        <v>47.29</v>
      </c>
      <c r="BV27">
        <v>0</v>
      </c>
      <c r="BW27">
        <v>1</v>
      </c>
      <c r="CU27">
        <f>ROUND(AT27*Source!I66*AH27*AL27,2)</f>
        <v>3838.79</v>
      </c>
      <c r="CV27">
        <f>ROUND(Y27*Source!I66,7)</f>
        <v>9.9308999999999994</v>
      </c>
      <c r="CW27">
        <v>0</v>
      </c>
      <c r="CX27">
        <f>ROUND(Y27*Source!I66,7)</f>
        <v>9.9308999999999994</v>
      </c>
      <c r="CY27">
        <f>AD27</f>
        <v>386.55</v>
      </c>
      <c r="CZ27">
        <f>AH27</f>
        <v>386.55</v>
      </c>
      <c r="DA27">
        <f>AL27</f>
        <v>1</v>
      </c>
      <c r="DB27">
        <f t="shared" si="10"/>
        <v>18279.95</v>
      </c>
      <c r="DC27">
        <f t="shared" si="11"/>
        <v>0</v>
      </c>
      <c r="DD27" t="s">
        <v>3</v>
      </c>
      <c r="DE27" t="s">
        <v>3</v>
      </c>
      <c r="DF27">
        <f t="shared" si="12"/>
        <v>0</v>
      </c>
      <c r="DG27">
        <f t="shared" si="13"/>
        <v>0</v>
      </c>
      <c r="DH27">
        <f t="shared" si="5"/>
        <v>0</v>
      </c>
      <c r="DI27">
        <f t="shared" si="6"/>
        <v>3838.79</v>
      </c>
      <c r="DJ27">
        <f>DI27</f>
        <v>3838.79</v>
      </c>
      <c r="DK27">
        <v>1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ROW(Source!A66)</f>
        <v>66</v>
      </c>
      <c r="B28">
        <v>61635504</v>
      </c>
      <c r="C28">
        <v>61635919</v>
      </c>
      <c r="D28">
        <v>60458138</v>
      </c>
      <c r="E28">
        <v>110</v>
      </c>
      <c r="F28">
        <v>1</v>
      </c>
      <c r="G28">
        <v>1</v>
      </c>
      <c r="H28">
        <v>1</v>
      </c>
      <c r="I28" t="s">
        <v>318</v>
      </c>
      <c r="J28" t="s">
        <v>3</v>
      </c>
      <c r="K28" t="s">
        <v>319</v>
      </c>
      <c r="L28">
        <v>1369</v>
      </c>
      <c r="N28">
        <v>1013</v>
      </c>
      <c r="O28" t="s">
        <v>315</v>
      </c>
      <c r="P28" t="s">
        <v>315</v>
      </c>
      <c r="Q28">
        <v>1</v>
      </c>
      <c r="W28">
        <v>0</v>
      </c>
      <c r="X28">
        <v>-512803540</v>
      </c>
      <c r="Y28">
        <f t="shared" si="9"/>
        <v>23.42</v>
      </c>
      <c r="AA28">
        <v>0</v>
      </c>
      <c r="AB28">
        <v>0</v>
      </c>
      <c r="AC28">
        <v>0</v>
      </c>
      <c r="AD28">
        <v>435.27</v>
      </c>
      <c r="AE28">
        <v>0</v>
      </c>
      <c r="AF28">
        <v>0</v>
      </c>
      <c r="AG28">
        <v>0</v>
      </c>
      <c r="AH28">
        <v>435.27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23.42</v>
      </c>
      <c r="AU28" t="s">
        <v>3</v>
      </c>
      <c r="AV28">
        <v>1</v>
      </c>
      <c r="AW28">
        <v>2</v>
      </c>
      <c r="AX28">
        <v>61636468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10194.0234</v>
      </c>
      <c r="BN28">
        <v>23.42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10194.0234</v>
      </c>
      <c r="BU28">
        <v>23.42</v>
      </c>
      <c r="BV28">
        <v>0</v>
      </c>
      <c r="BW28">
        <v>1</v>
      </c>
      <c r="CU28">
        <f>ROUND(AT28*Source!I66*AH28*AL28,2)</f>
        <v>2140.7399999999998</v>
      </c>
      <c r="CV28">
        <f>ROUND(Y28*Source!I66,7)</f>
        <v>4.9181999999999997</v>
      </c>
      <c r="CW28">
        <v>0</v>
      </c>
      <c r="CX28">
        <f>ROUND(Y28*Source!I66,7)</f>
        <v>4.9181999999999997</v>
      </c>
      <c r="CY28">
        <f>AD28</f>
        <v>435.27</v>
      </c>
      <c r="CZ28">
        <f>AH28</f>
        <v>435.27</v>
      </c>
      <c r="DA28">
        <f>AL28</f>
        <v>1</v>
      </c>
      <c r="DB28">
        <f t="shared" si="10"/>
        <v>10194.02</v>
      </c>
      <c r="DC28">
        <f t="shared" si="11"/>
        <v>0</v>
      </c>
      <c r="DD28" t="s">
        <v>3</v>
      </c>
      <c r="DE28" t="s">
        <v>3</v>
      </c>
      <c r="DF28">
        <f t="shared" si="12"/>
        <v>0</v>
      </c>
      <c r="DG28">
        <f t="shared" si="13"/>
        <v>0</v>
      </c>
      <c r="DH28">
        <f t="shared" si="5"/>
        <v>0</v>
      </c>
      <c r="DI28">
        <f t="shared" si="6"/>
        <v>2140.7399999999998</v>
      </c>
      <c r="DJ28">
        <f>DI28</f>
        <v>2140.7399999999998</v>
      </c>
      <c r="DK28">
        <v>1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ROW(Source!A66)</f>
        <v>66</v>
      </c>
      <c r="B29">
        <v>61635504</v>
      </c>
      <c r="C29">
        <v>61635919</v>
      </c>
      <c r="D29">
        <v>60458140</v>
      </c>
      <c r="E29">
        <v>110</v>
      </c>
      <c r="F29">
        <v>1</v>
      </c>
      <c r="G29">
        <v>1</v>
      </c>
      <c r="H29">
        <v>1</v>
      </c>
      <c r="I29" t="s">
        <v>320</v>
      </c>
      <c r="J29" t="s">
        <v>3</v>
      </c>
      <c r="K29" t="s">
        <v>321</v>
      </c>
      <c r="L29">
        <v>1369</v>
      </c>
      <c r="N29">
        <v>1013</v>
      </c>
      <c r="O29" t="s">
        <v>315</v>
      </c>
      <c r="P29" t="s">
        <v>315</v>
      </c>
      <c r="Q29">
        <v>1</v>
      </c>
      <c r="W29">
        <v>0</v>
      </c>
      <c r="X29">
        <v>1518711480</v>
      </c>
      <c r="Y29">
        <f t="shared" si="9"/>
        <v>23.42</v>
      </c>
      <c r="AA29">
        <v>0</v>
      </c>
      <c r="AB29">
        <v>0</v>
      </c>
      <c r="AC29">
        <v>0</v>
      </c>
      <c r="AD29">
        <v>500.24</v>
      </c>
      <c r="AE29">
        <v>0</v>
      </c>
      <c r="AF29">
        <v>0</v>
      </c>
      <c r="AG29">
        <v>0</v>
      </c>
      <c r="AH29">
        <v>500.24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23.42</v>
      </c>
      <c r="AU29" t="s">
        <v>3</v>
      </c>
      <c r="AV29">
        <v>1</v>
      </c>
      <c r="AW29">
        <v>2</v>
      </c>
      <c r="AX29">
        <v>61636469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11715.620800000001</v>
      </c>
      <c r="BN29">
        <v>23.42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11715.620800000001</v>
      </c>
      <c r="BU29">
        <v>23.42</v>
      </c>
      <c r="BV29">
        <v>0</v>
      </c>
      <c r="BW29">
        <v>1</v>
      </c>
      <c r="CU29">
        <f>ROUND(AT29*Source!I66*AH29*AL29,2)</f>
        <v>2460.2800000000002</v>
      </c>
      <c r="CV29">
        <f>ROUND(Y29*Source!I66,7)</f>
        <v>4.9181999999999997</v>
      </c>
      <c r="CW29">
        <v>0</v>
      </c>
      <c r="CX29">
        <f>ROUND(Y29*Source!I66,7)</f>
        <v>4.9181999999999997</v>
      </c>
      <c r="CY29">
        <f>AD29</f>
        <v>500.24</v>
      </c>
      <c r="CZ29">
        <f>AH29</f>
        <v>500.24</v>
      </c>
      <c r="DA29">
        <f>AL29</f>
        <v>1</v>
      </c>
      <c r="DB29">
        <f t="shared" si="10"/>
        <v>11715.62</v>
      </c>
      <c r="DC29">
        <f t="shared" si="11"/>
        <v>0</v>
      </c>
      <c r="DD29" t="s">
        <v>3</v>
      </c>
      <c r="DE29" t="s">
        <v>3</v>
      </c>
      <c r="DF29">
        <f t="shared" si="12"/>
        <v>0</v>
      </c>
      <c r="DG29">
        <f t="shared" si="13"/>
        <v>0</v>
      </c>
      <c r="DH29">
        <f t="shared" si="5"/>
        <v>0</v>
      </c>
      <c r="DI29">
        <f t="shared" si="6"/>
        <v>2460.2800000000002</v>
      </c>
      <c r="DJ29">
        <f>DI29</f>
        <v>2460.2800000000002</v>
      </c>
      <c r="DK29">
        <v>1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ROW(Source!A66)</f>
        <v>66</v>
      </c>
      <c r="B30">
        <v>61635504</v>
      </c>
      <c r="C30">
        <v>61635919</v>
      </c>
      <c r="D30">
        <v>60458172</v>
      </c>
      <c r="E30">
        <v>110</v>
      </c>
      <c r="F30">
        <v>1</v>
      </c>
      <c r="G30">
        <v>1</v>
      </c>
      <c r="H30">
        <v>1</v>
      </c>
      <c r="I30" t="s">
        <v>322</v>
      </c>
      <c r="J30" t="s">
        <v>3</v>
      </c>
      <c r="K30" t="s">
        <v>323</v>
      </c>
      <c r="L30">
        <v>1191</v>
      </c>
      <c r="N30">
        <v>1013</v>
      </c>
      <c r="O30" t="s">
        <v>324</v>
      </c>
      <c r="P30" t="s">
        <v>324</v>
      </c>
      <c r="Q30">
        <v>1</v>
      </c>
      <c r="W30">
        <v>0</v>
      </c>
      <c r="X30">
        <v>-1417349443</v>
      </c>
      <c r="Y30">
        <f t="shared" si="9"/>
        <v>24.89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24.89</v>
      </c>
      <c r="AU30" t="s">
        <v>3</v>
      </c>
      <c r="AV30">
        <v>2</v>
      </c>
      <c r="AW30">
        <v>2</v>
      </c>
      <c r="AX30">
        <v>61636470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ROUND(Y30*Source!I66,7)</f>
        <v>5.2268999999999997</v>
      </c>
      <c r="CY30">
        <f>AD30</f>
        <v>0</v>
      </c>
      <c r="CZ30">
        <f>AH30</f>
        <v>0</v>
      </c>
      <c r="DA30">
        <f>AL30</f>
        <v>1</v>
      </c>
      <c r="DB30">
        <f t="shared" si="10"/>
        <v>0</v>
      </c>
      <c r="DC30">
        <f t="shared" si="11"/>
        <v>0</v>
      </c>
      <c r="DD30" t="s">
        <v>3</v>
      </c>
      <c r="DE30" t="s">
        <v>3</v>
      </c>
      <c r="DF30">
        <f t="shared" si="12"/>
        <v>0</v>
      </c>
      <c r="DG30">
        <f t="shared" si="13"/>
        <v>0</v>
      </c>
      <c r="DH30">
        <f t="shared" si="5"/>
        <v>0</v>
      </c>
      <c r="DI30">
        <f t="shared" si="6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ROW(Source!A66)</f>
        <v>66</v>
      </c>
      <c r="B31">
        <v>61635504</v>
      </c>
      <c r="C31">
        <v>61635919</v>
      </c>
      <c r="D31">
        <v>60465258</v>
      </c>
      <c r="E31">
        <v>1</v>
      </c>
      <c r="F31">
        <v>1</v>
      </c>
      <c r="G31">
        <v>1</v>
      </c>
      <c r="H31">
        <v>2</v>
      </c>
      <c r="I31" t="s">
        <v>325</v>
      </c>
      <c r="J31" t="s">
        <v>326</v>
      </c>
      <c r="K31" t="s">
        <v>327</v>
      </c>
      <c r="L31">
        <v>1368</v>
      </c>
      <c r="N31">
        <v>1011</v>
      </c>
      <c r="O31" t="s">
        <v>194</v>
      </c>
      <c r="P31" t="s">
        <v>194</v>
      </c>
      <c r="Q31">
        <v>1</v>
      </c>
      <c r="W31">
        <v>0</v>
      </c>
      <c r="X31">
        <v>-1112845829</v>
      </c>
      <c r="Y31">
        <f t="shared" si="9"/>
        <v>0.75</v>
      </c>
      <c r="AA31">
        <v>0</v>
      </c>
      <c r="AB31">
        <v>1459.82</v>
      </c>
      <c r="AC31">
        <v>584.69000000000005</v>
      </c>
      <c r="AD31">
        <v>0</v>
      </c>
      <c r="AE31">
        <v>0</v>
      </c>
      <c r="AF31">
        <v>1459.82</v>
      </c>
      <c r="AG31">
        <v>584.69000000000005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0.75</v>
      </c>
      <c r="AU31" t="s">
        <v>3</v>
      </c>
      <c r="AV31">
        <v>1</v>
      </c>
      <c r="AW31">
        <v>2</v>
      </c>
      <c r="AX31">
        <v>61636471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1094.865</v>
      </c>
      <c r="BL31">
        <v>438.51750000000004</v>
      </c>
      <c r="BM31">
        <v>0</v>
      </c>
      <c r="BN31">
        <v>0</v>
      </c>
      <c r="BO31">
        <v>0.75</v>
      </c>
      <c r="BP31">
        <v>1</v>
      </c>
      <c r="BQ31">
        <v>0</v>
      </c>
      <c r="BR31">
        <v>1094.865</v>
      </c>
      <c r="BS31">
        <v>438.51750000000004</v>
      </c>
      <c r="BT31">
        <v>0</v>
      </c>
      <c r="BU31">
        <v>0</v>
      </c>
      <c r="BV31">
        <v>0.75</v>
      </c>
      <c r="BW31">
        <v>1</v>
      </c>
      <c r="CV31">
        <v>0</v>
      </c>
      <c r="CW31">
        <f>ROUND(Y31*Source!I66*DO31,7)</f>
        <v>0.1575</v>
      </c>
      <c r="CX31">
        <f>ROUND(Y31*Source!I66,7)</f>
        <v>0.1575</v>
      </c>
      <c r="CY31">
        <f>AB31</f>
        <v>1459.82</v>
      </c>
      <c r="CZ31">
        <f>AF31</f>
        <v>1459.82</v>
      </c>
      <c r="DA31">
        <f>AJ31</f>
        <v>1</v>
      </c>
      <c r="DB31">
        <f t="shared" si="10"/>
        <v>1094.8699999999999</v>
      </c>
      <c r="DC31">
        <f t="shared" si="11"/>
        <v>438.52</v>
      </c>
      <c r="DD31" t="s">
        <v>3</v>
      </c>
      <c r="DE31" t="s">
        <v>3</v>
      </c>
      <c r="DF31">
        <f t="shared" si="12"/>
        <v>0</v>
      </c>
      <c r="DG31">
        <f t="shared" si="13"/>
        <v>229.92</v>
      </c>
      <c r="DH31">
        <f t="shared" si="5"/>
        <v>92.09</v>
      </c>
      <c r="DI31">
        <f t="shared" si="6"/>
        <v>0</v>
      </c>
      <c r="DJ31">
        <f>DG31+DH31</f>
        <v>322.01</v>
      </c>
      <c r="DK31">
        <v>1</v>
      </c>
      <c r="DL31" t="s">
        <v>328</v>
      </c>
      <c r="DM31">
        <v>6</v>
      </c>
      <c r="DN31" t="s">
        <v>324</v>
      </c>
      <c r="DO31">
        <v>1</v>
      </c>
    </row>
    <row r="32" spans="1:119" x14ac:dyDescent="0.2">
      <c r="A32">
        <f>ROW(Source!A66)</f>
        <v>66</v>
      </c>
      <c r="B32">
        <v>61635504</v>
      </c>
      <c r="C32">
        <v>61635919</v>
      </c>
      <c r="D32">
        <v>60465392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194</v>
      </c>
      <c r="P32" t="s">
        <v>194</v>
      </c>
      <c r="Q32">
        <v>1</v>
      </c>
      <c r="W32">
        <v>0</v>
      </c>
      <c r="X32">
        <v>-963849347</v>
      </c>
      <c r="Y32">
        <f t="shared" si="9"/>
        <v>0.81</v>
      </c>
      <c r="AA32">
        <v>0</v>
      </c>
      <c r="AB32">
        <v>15.06</v>
      </c>
      <c r="AC32">
        <v>0</v>
      </c>
      <c r="AD32">
        <v>0</v>
      </c>
      <c r="AE32">
        <v>0</v>
      </c>
      <c r="AF32">
        <v>15.06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0.81</v>
      </c>
      <c r="AU32" t="s">
        <v>3</v>
      </c>
      <c r="AV32">
        <v>1</v>
      </c>
      <c r="AW32">
        <v>2</v>
      </c>
      <c r="AX32">
        <v>61636472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12.198600000000001</v>
      </c>
      <c r="BL32">
        <v>0</v>
      </c>
      <c r="BM32">
        <v>0</v>
      </c>
      <c r="BN32">
        <v>0</v>
      </c>
      <c r="BO32">
        <v>0</v>
      </c>
      <c r="BP32">
        <v>1</v>
      </c>
      <c r="BQ32">
        <v>0</v>
      </c>
      <c r="BR32">
        <v>12.198600000000001</v>
      </c>
      <c r="BS32">
        <v>0</v>
      </c>
      <c r="BT32">
        <v>0</v>
      </c>
      <c r="BU32">
        <v>0</v>
      </c>
      <c r="BV32">
        <v>0</v>
      </c>
      <c r="BW32">
        <v>1</v>
      </c>
      <c r="CV32">
        <v>0</v>
      </c>
      <c r="CW32">
        <f>ROUND(Y32*Source!I66*DO32,7)</f>
        <v>0</v>
      </c>
      <c r="CX32">
        <f>ROUND(Y32*Source!I66,7)</f>
        <v>0.1701</v>
      </c>
      <c r="CY32">
        <f>AB32</f>
        <v>15.06</v>
      </c>
      <c r="CZ32">
        <f>AF32</f>
        <v>15.06</v>
      </c>
      <c r="DA32">
        <f>AJ32</f>
        <v>1</v>
      </c>
      <c r="DB32">
        <f t="shared" si="10"/>
        <v>12.2</v>
      </c>
      <c r="DC32">
        <f t="shared" si="11"/>
        <v>0</v>
      </c>
      <c r="DD32" t="s">
        <v>3</v>
      </c>
      <c r="DE32" t="s">
        <v>3</v>
      </c>
      <c r="DF32">
        <f t="shared" si="12"/>
        <v>0</v>
      </c>
      <c r="DG32">
        <f t="shared" si="13"/>
        <v>2.56</v>
      </c>
      <c r="DH32">
        <f t="shared" si="5"/>
        <v>0</v>
      </c>
      <c r="DI32">
        <f t="shared" si="6"/>
        <v>0</v>
      </c>
      <c r="DJ32">
        <f>DG32+DH32</f>
        <v>2.56</v>
      </c>
      <c r="DK32">
        <v>1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ROW(Source!A66)</f>
        <v>66</v>
      </c>
      <c r="B33">
        <v>61635504</v>
      </c>
      <c r="C33">
        <v>61635919</v>
      </c>
      <c r="D33">
        <v>60465431</v>
      </c>
      <c r="E33">
        <v>1</v>
      </c>
      <c r="F33">
        <v>1</v>
      </c>
      <c r="G33">
        <v>1</v>
      </c>
      <c r="H33">
        <v>2</v>
      </c>
      <c r="I33" t="s">
        <v>332</v>
      </c>
      <c r="J33" t="s">
        <v>333</v>
      </c>
      <c r="K33" t="s">
        <v>334</v>
      </c>
      <c r="L33">
        <v>1368</v>
      </c>
      <c r="N33">
        <v>1011</v>
      </c>
      <c r="O33" t="s">
        <v>194</v>
      </c>
      <c r="P33" t="s">
        <v>194</v>
      </c>
      <c r="Q33">
        <v>1</v>
      </c>
      <c r="W33">
        <v>0</v>
      </c>
      <c r="X33">
        <v>237993052</v>
      </c>
      <c r="Y33">
        <f t="shared" si="9"/>
        <v>22.74</v>
      </c>
      <c r="AA33">
        <v>0</v>
      </c>
      <c r="AB33">
        <v>454.22</v>
      </c>
      <c r="AC33">
        <v>435.27</v>
      </c>
      <c r="AD33">
        <v>0</v>
      </c>
      <c r="AE33">
        <v>0</v>
      </c>
      <c r="AF33">
        <v>346.73</v>
      </c>
      <c r="AG33">
        <v>435.27</v>
      </c>
      <c r="AH33">
        <v>0</v>
      </c>
      <c r="AI33">
        <v>1</v>
      </c>
      <c r="AJ33">
        <v>1.31</v>
      </c>
      <c r="AK33">
        <v>1</v>
      </c>
      <c r="AL33">
        <v>1</v>
      </c>
      <c r="AM33">
        <v>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22.74</v>
      </c>
      <c r="AU33" t="s">
        <v>3</v>
      </c>
      <c r="AV33">
        <v>1</v>
      </c>
      <c r="AW33">
        <v>2</v>
      </c>
      <c r="AX33">
        <v>61636473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7884.6401999999998</v>
      </c>
      <c r="BL33">
        <v>9898.0397999999986</v>
      </c>
      <c r="BM33">
        <v>0</v>
      </c>
      <c r="BN33">
        <v>0</v>
      </c>
      <c r="BO33">
        <v>22.74</v>
      </c>
      <c r="BP33">
        <v>1</v>
      </c>
      <c r="BQ33">
        <v>0</v>
      </c>
      <c r="BR33">
        <v>7884.6401999999998</v>
      </c>
      <c r="BS33">
        <v>9898.0397999999986</v>
      </c>
      <c r="BT33">
        <v>0</v>
      </c>
      <c r="BU33">
        <v>0</v>
      </c>
      <c r="BV33">
        <v>22.74</v>
      </c>
      <c r="BW33">
        <v>1</v>
      </c>
      <c r="CV33">
        <v>0</v>
      </c>
      <c r="CW33">
        <f>ROUND(Y33*Source!I66*DO33,7)</f>
        <v>4.7754000000000003</v>
      </c>
      <c r="CX33">
        <f>ROUND(Y33*Source!I66,7)</f>
        <v>4.7754000000000003</v>
      </c>
      <c r="CY33">
        <f>AB33</f>
        <v>454.22</v>
      </c>
      <c r="CZ33">
        <f>AF33</f>
        <v>346.73</v>
      </c>
      <c r="DA33">
        <f>AJ33</f>
        <v>1.31</v>
      </c>
      <c r="DB33">
        <f t="shared" si="10"/>
        <v>7884.64</v>
      </c>
      <c r="DC33">
        <f t="shared" si="11"/>
        <v>9898.0400000000009</v>
      </c>
      <c r="DD33" t="s">
        <v>3</v>
      </c>
      <c r="DE33" t="s">
        <v>3</v>
      </c>
      <c r="DF33">
        <f t="shared" si="12"/>
        <v>0</v>
      </c>
      <c r="DG33">
        <f>ROUND(ROUND(AF33*AJ33,2)*CX33,2)</f>
        <v>2169.08</v>
      </c>
      <c r="DH33">
        <f t="shared" ref="DH33:DH64" si="14">ROUND(ROUND(AG33,2)*CX33,2)</f>
        <v>2078.59</v>
      </c>
      <c r="DI33">
        <f t="shared" ref="DI33:DI64" si="15">ROUND(ROUND(AH33,2)*CX33,2)</f>
        <v>0</v>
      </c>
      <c r="DJ33">
        <f>DG33+DH33</f>
        <v>4247.67</v>
      </c>
      <c r="DK33">
        <v>1</v>
      </c>
      <c r="DL33" t="s">
        <v>335</v>
      </c>
      <c r="DM33">
        <v>4</v>
      </c>
      <c r="DN33" t="s">
        <v>324</v>
      </c>
      <c r="DO33">
        <v>1</v>
      </c>
    </row>
    <row r="34" spans="1:119" x14ac:dyDescent="0.2">
      <c r="A34">
        <f>ROW(Source!A66)</f>
        <v>66</v>
      </c>
      <c r="B34">
        <v>61635504</v>
      </c>
      <c r="C34">
        <v>61635919</v>
      </c>
      <c r="D34">
        <v>60466143</v>
      </c>
      <c r="E34">
        <v>1</v>
      </c>
      <c r="F34">
        <v>1</v>
      </c>
      <c r="G34">
        <v>1</v>
      </c>
      <c r="H34">
        <v>2</v>
      </c>
      <c r="I34" t="s">
        <v>336</v>
      </c>
      <c r="J34" t="s">
        <v>337</v>
      </c>
      <c r="K34" t="s">
        <v>338</v>
      </c>
      <c r="L34">
        <v>1368</v>
      </c>
      <c r="N34">
        <v>1011</v>
      </c>
      <c r="O34" t="s">
        <v>194</v>
      </c>
      <c r="P34" t="s">
        <v>194</v>
      </c>
      <c r="Q34">
        <v>1</v>
      </c>
      <c r="W34">
        <v>0</v>
      </c>
      <c r="X34">
        <v>-1006353707</v>
      </c>
      <c r="Y34">
        <f t="shared" si="9"/>
        <v>0.59</v>
      </c>
      <c r="AA34">
        <v>0</v>
      </c>
      <c r="AB34">
        <v>568.72</v>
      </c>
      <c r="AC34">
        <v>435.27</v>
      </c>
      <c r="AD34">
        <v>0</v>
      </c>
      <c r="AE34">
        <v>0</v>
      </c>
      <c r="AF34">
        <v>477.92</v>
      </c>
      <c r="AG34">
        <v>435.27</v>
      </c>
      <c r="AH34">
        <v>0</v>
      </c>
      <c r="AI34">
        <v>1</v>
      </c>
      <c r="AJ34">
        <v>1.19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0.59</v>
      </c>
      <c r="AU34" t="s">
        <v>3</v>
      </c>
      <c r="AV34">
        <v>1</v>
      </c>
      <c r="AW34">
        <v>2</v>
      </c>
      <c r="AX34">
        <v>61636474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281.97280000000001</v>
      </c>
      <c r="BL34">
        <v>256.80929999999995</v>
      </c>
      <c r="BM34">
        <v>0</v>
      </c>
      <c r="BN34">
        <v>0</v>
      </c>
      <c r="BO34">
        <v>0.59</v>
      </c>
      <c r="BP34">
        <v>1</v>
      </c>
      <c r="BQ34">
        <v>0</v>
      </c>
      <c r="BR34">
        <v>281.97280000000001</v>
      </c>
      <c r="BS34">
        <v>256.80929999999995</v>
      </c>
      <c r="BT34">
        <v>0</v>
      </c>
      <c r="BU34">
        <v>0</v>
      </c>
      <c r="BV34">
        <v>0.59</v>
      </c>
      <c r="BW34">
        <v>1</v>
      </c>
      <c r="CV34">
        <v>0</v>
      </c>
      <c r="CW34">
        <f>ROUND(Y34*Source!I66*DO34,7)</f>
        <v>0.1239</v>
      </c>
      <c r="CX34">
        <f>ROUND(Y34*Source!I66,7)</f>
        <v>0.1239</v>
      </c>
      <c r="CY34">
        <f>AB34</f>
        <v>568.72</v>
      </c>
      <c r="CZ34">
        <f>AF34</f>
        <v>477.92</v>
      </c>
      <c r="DA34">
        <f>AJ34</f>
        <v>1.19</v>
      </c>
      <c r="DB34">
        <f t="shared" si="10"/>
        <v>281.97000000000003</v>
      </c>
      <c r="DC34">
        <f t="shared" si="11"/>
        <v>256.81</v>
      </c>
      <c r="DD34" t="s">
        <v>3</v>
      </c>
      <c r="DE34" t="s">
        <v>3</v>
      </c>
      <c r="DF34">
        <f t="shared" si="12"/>
        <v>0</v>
      </c>
      <c r="DG34">
        <f>ROUND(ROUND(AF34*AJ34,2)*CX34,2)</f>
        <v>70.459999999999994</v>
      </c>
      <c r="DH34">
        <f t="shared" si="14"/>
        <v>53.93</v>
      </c>
      <c r="DI34">
        <f t="shared" si="15"/>
        <v>0</v>
      </c>
      <c r="DJ34">
        <f>DG34+DH34</f>
        <v>124.38999999999999</v>
      </c>
      <c r="DK34">
        <v>1</v>
      </c>
      <c r="DL34" t="s">
        <v>335</v>
      </c>
      <c r="DM34">
        <v>4</v>
      </c>
      <c r="DN34" t="s">
        <v>324</v>
      </c>
      <c r="DO34">
        <v>1</v>
      </c>
    </row>
    <row r="35" spans="1:119" x14ac:dyDescent="0.2">
      <c r="A35">
        <f>ROW(Source!A66)</f>
        <v>66</v>
      </c>
      <c r="B35">
        <v>61635504</v>
      </c>
      <c r="C35">
        <v>61635919</v>
      </c>
      <c r="D35">
        <v>60466339</v>
      </c>
      <c r="E35">
        <v>1</v>
      </c>
      <c r="F35">
        <v>1</v>
      </c>
      <c r="G35">
        <v>1</v>
      </c>
      <c r="H35">
        <v>2</v>
      </c>
      <c r="I35" t="s">
        <v>339</v>
      </c>
      <c r="J35" t="s">
        <v>340</v>
      </c>
      <c r="K35" t="s">
        <v>341</v>
      </c>
      <c r="L35">
        <v>1368</v>
      </c>
      <c r="N35">
        <v>1011</v>
      </c>
      <c r="O35" t="s">
        <v>194</v>
      </c>
      <c r="P35" t="s">
        <v>194</v>
      </c>
      <c r="Q35">
        <v>1</v>
      </c>
      <c r="W35">
        <v>0</v>
      </c>
      <c r="X35">
        <v>788815233</v>
      </c>
      <c r="Y35">
        <f t="shared" si="9"/>
        <v>0.81</v>
      </c>
      <c r="AA35">
        <v>0</v>
      </c>
      <c r="AB35">
        <v>170.84</v>
      </c>
      <c r="AC35">
        <v>435.27</v>
      </c>
      <c r="AD35">
        <v>0</v>
      </c>
      <c r="AE35">
        <v>0</v>
      </c>
      <c r="AF35">
        <v>170.84</v>
      </c>
      <c r="AG35">
        <v>435.27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0.81</v>
      </c>
      <c r="AU35" t="s">
        <v>3</v>
      </c>
      <c r="AV35">
        <v>1</v>
      </c>
      <c r="AW35">
        <v>2</v>
      </c>
      <c r="AX35">
        <v>61636475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138.38040000000001</v>
      </c>
      <c r="BL35">
        <v>352.56870000000004</v>
      </c>
      <c r="BM35">
        <v>0</v>
      </c>
      <c r="BN35">
        <v>0</v>
      </c>
      <c r="BO35">
        <v>0.81</v>
      </c>
      <c r="BP35">
        <v>1</v>
      </c>
      <c r="BQ35">
        <v>0</v>
      </c>
      <c r="BR35">
        <v>138.38040000000001</v>
      </c>
      <c r="BS35">
        <v>352.56870000000004</v>
      </c>
      <c r="BT35">
        <v>0</v>
      </c>
      <c r="BU35">
        <v>0</v>
      </c>
      <c r="BV35">
        <v>0.81</v>
      </c>
      <c r="BW35">
        <v>1</v>
      </c>
      <c r="CV35">
        <v>0</v>
      </c>
      <c r="CW35">
        <f>ROUND(Y35*Source!I66*DO35,7)</f>
        <v>0.1701</v>
      </c>
      <c r="CX35">
        <f>ROUND(Y35*Source!I66,7)</f>
        <v>0.1701</v>
      </c>
      <c r="CY35">
        <f>AB35</f>
        <v>170.84</v>
      </c>
      <c r="CZ35">
        <f>AF35</f>
        <v>170.84</v>
      </c>
      <c r="DA35">
        <f>AJ35</f>
        <v>1</v>
      </c>
      <c r="DB35">
        <f t="shared" si="10"/>
        <v>138.38</v>
      </c>
      <c r="DC35">
        <f t="shared" si="11"/>
        <v>352.57</v>
      </c>
      <c r="DD35" t="s">
        <v>3</v>
      </c>
      <c r="DE35" t="s">
        <v>3</v>
      </c>
      <c r="DF35">
        <f t="shared" si="12"/>
        <v>0</v>
      </c>
      <c r="DG35">
        <f t="shared" ref="DG35:DG41" si="16">ROUND(ROUND(AF35,2)*CX35,2)</f>
        <v>29.06</v>
      </c>
      <c r="DH35">
        <f t="shared" si="14"/>
        <v>74.040000000000006</v>
      </c>
      <c r="DI35">
        <f t="shared" si="15"/>
        <v>0</v>
      </c>
      <c r="DJ35">
        <f>DG35+DH35</f>
        <v>103.10000000000001</v>
      </c>
      <c r="DK35">
        <v>1</v>
      </c>
      <c r="DL35" t="s">
        <v>335</v>
      </c>
      <c r="DM35">
        <v>4</v>
      </c>
      <c r="DN35" t="s">
        <v>324</v>
      </c>
      <c r="DO35">
        <v>1</v>
      </c>
    </row>
    <row r="36" spans="1:119" x14ac:dyDescent="0.2">
      <c r="A36">
        <f>ROW(Source!A66)</f>
        <v>66</v>
      </c>
      <c r="B36">
        <v>61635504</v>
      </c>
      <c r="C36">
        <v>61635919</v>
      </c>
      <c r="D36">
        <v>60462598</v>
      </c>
      <c r="E36">
        <v>110</v>
      </c>
      <c r="F36">
        <v>1</v>
      </c>
      <c r="G36">
        <v>1</v>
      </c>
      <c r="H36">
        <v>3</v>
      </c>
      <c r="I36" t="s">
        <v>342</v>
      </c>
      <c r="J36" t="s">
        <v>3</v>
      </c>
      <c r="K36" t="s">
        <v>343</v>
      </c>
      <c r="L36">
        <v>1371</v>
      </c>
      <c r="N36">
        <v>1013</v>
      </c>
      <c r="O36" t="s">
        <v>126</v>
      </c>
      <c r="P36" t="s">
        <v>126</v>
      </c>
      <c r="Q36">
        <v>1</v>
      </c>
      <c r="W36">
        <v>0</v>
      </c>
      <c r="X36">
        <v>864875641</v>
      </c>
      <c r="Y36">
        <f t="shared" si="9"/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1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0</v>
      </c>
      <c r="AU36" t="s">
        <v>3</v>
      </c>
      <c r="AV36">
        <v>0</v>
      </c>
      <c r="AW36">
        <v>2</v>
      </c>
      <c r="AX36">
        <v>61636476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ROUND(Y36*Source!I66,7)</f>
        <v>0</v>
      </c>
      <c r="CY36">
        <f>AA36</f>
        <v>0</v>
      </c>
      <c r="CZ36">
        <f>AE36</f>
        <v>0</v>
      </c>
      <c r="DA36">
        <f>AI36</f>
        <v>1</v>
      </c>
      <c r="DB36">
        <f t="shared" si="10"/>
        <v>0</v>
      </c>
      <c r="DC36">
        <f t="shared" si="11"/>
        <v>0</v>
      </c>
      <c r="DD36" t="s">
        <v>3</v>
      </c>
      <c r="DE36" t="s">
        <v>3</v>
      </c>
      <c r="DF36">
        <f t="shared" si="12"/>
        <v>0</v>
      </c>
      <c r="DG36">
        <f t="shared" si="16"/>
        <v>0</v>
      </c>
      <c r="DH36">
        <f t="shared" si="14"/>
        <v>0</v>
      </c>
      <c r="DI36">
        <f t="shared" si="15"/>
        <v>0</v>
      </c>
      <c r="DJ36">
        <f>DF36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ROW(Source!A66)</f>
        <v>66</v>
      </c>
      <c r="B37">
        <v>61635504</v>
      </c>
      <c r="C37">
        <v>61635919</v>
      </c>
      <c r="D37">
        <v>60462607</v>
      </c>
      <c r="E37">
        <v>110</v>
      </c>
      <c r="F37">
        <v>1</v>
      </c>
      <c r="G37">
        <v>1</v>
      </c>
      <c r="H37">
        <v>3</v>
      </c>
      <c r="I37" t="s">
        <v>344</v>
      </c>
      <c r="J37" t="s">
        <v>3</v>
      </c>
      <c r="K37" t="s">
        <v>345</v>
      </c>
      <c r="L37">
        <v>1371</v>
      </c>
      <c r="N37">
        <v>1013</v>
      </c>
      <c r="O37" t="s">
        <v>126</v>
      </c>
      <c r="P37" t="s">
        <v>126</v>
      </c>
      <c r="Q37">
        <v>1</v>
      </c>
      <c r="W37">
        <v>0</v>
      </c>
      <c r="X37">
        <v>-1890832814</v>
      </c>
      <c r="Y37">
        <f t="shared" si="9"/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1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</v>
      </c>
      <c r="AU37" t="s">
        <v>3</v>
      </c>
      <c r="AV37">
        <v>0</v>
      </c>
      <c r="AW37">
        <v>2</v>
      </c>
      <c r="AX37">
        <v>61636477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ROUND(Y37*Source!I66,7)</f>
        <v>0</v>
      </c>
      <c r="CY37">
        <f>AA37</f>
        <v>0</v>
      </c>
      <c r="CZ37">
        <f>AE37</f>
        <v>0</v>
      </c>
      <c r="DA37">
        <f>AI37</f>
        <v>1</v>
      </c>
      <c r="DB37">
        <f t="shared" si="10"/>
        <v>0</v>
      </c>
      <c r="DC37">
        <f t="shared" si="11"/>
        <v>0</v>
      </c>
      <c r="DD37" t="s">
        <v>3</v>
      </c>
      <c r="DE37" t="s">
        <v>3</v>
      </c>
      <c r="DF37">
        <f t="shared" si="12"/>
        <v>0</v>
      </c>
      <c r="DG37">
        <f t="shared" si="16"/>
        <v>0</v>
      </c>
      <c r="DH37">
        <f t="shared" si="14"/>
        <v>0</v>
      </c>
      <c r="DI37">
        <f t="shared" si="15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ROW(Source!A66)</f>
        <v>66</v>
      </c>
      <c r="B38">
        <v>61635504</v>
      </c>
      <c r="C38">
        <v>61635919</v>
      </c>
      <c r="D38">
        <v>60462763</v>
      </c>
      <c r="E38">
        <v>110</v>
      </c>
      <c r="F38">
        <v>1</v>
      </c>
      <c r="G38">
        <v>1</v>
      </c>
      <c r="H38">
        <v>3</v>
      </c>
      <c r="I38" t="s">
        <v>346</v>
      </c>
      <c r="J38" t="s">
        <v>3</v>
      </c>
      <c r="K38" t="s">
        <v>347</v>
      </c>
      <c r="L38">
        <v>1477</v>
      </c>
      <c r="N38">
        <v>1013</v>
      </c>
      <c r="O38" t="s">
        <v>23</v>
      </c>
      <c r="P38" t="s">
        <v>28</v>
      </c>
      <c r="Q38">
        <v>1</v>
      </c>
      <c r="W38">
        <v>0</v>
      </c>
      <c r="X38">
        <v>164804165</v>
      </c>
      <c r="Y38">
        <f t="shared" si="9"/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1</v>
      </c>
      <c r="AO38">
        <v>0</v>
      </c>
      <c r="AP38">
        <v>1</v>
      </c>
      <c r="AQ38">
        <v>1</v>
      </c>
      <c r="AR38">
        <v>0</v>
      </c>
      <c r="AS38" t="s">
        <v>3</v>
      </c>
      <c r="AT38">
        <v>0</v>
      </c>
      <c r="AU38" t="s">
        <v>3</v>
      </c>
      <c r="AV38">
        <v>0</v>
      </c>
      <c r="AW38">
        <v>2</v>
      </c>
      <c r="AX38">
        <v>61636478</v>
      </c>
      <c r="AY38">
        <v>1</v>
      </c>
      <c r="AZ38">
        <v>0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ROUND(Y38*Source!I66,7)</f>
        <v>0</v>
      </c>
      <c r="CY38">
        <f>AA38</f>
        <v>0</v>
      </c>
      <c r="CZ38">
        <f>AE38</f>
        <v>0</v>
      </c>
      <c r="DA38">
        <f>AI38</f>
        <v>1</v>
      </c>
      <c r="DB38">
        <f t="shared" si="10"/>
        <v>0</v>
      </c>
      <c r="DC38">
        <f t="shared" si="11"/>
        <v>0</v>
      </c>
      <c r="DD38" t="s">
        <v>3</v>
      </c>
      <c r="DE38" t="s">
        <v>3</v>
      </c>
      <c r="DF38">
        <f t="shared" si="12"/>
        <v>0</v>
      </c>
      <c r="DG38">
        <f t="shared" si="16"/>
        <v>0</v>
      </c>
      <c r="DH38">
        <f t="shared" si="14"/>
        <v>0</v>
      </c>
      <c r="DI38">
        <f t="shared" si="15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ROW(Source!A67)</f>
        <v>67</v>
      </c>
      <c r="B39">
        <v>61635504</v>
      </c>
      <c r="C39">
        <v>61635950</v>
      </c>
      <c r="D39">
        <v>37064878</v>
      </c>
      <c r="E39">
        <v>108</v>
      </c>
      <c r="F39">
        <v>1</v>
      </c>
      <c r="G39">
        <v>1</v>
      </c>
      <c r="H39">
        <v>1</v>
      </c>
      <c r="I39" t="s">
        <v>368</v>
      </c>
      <c r="J39" t="s">
        <v>3</v>
      </c>
      <c r="K39" t="s">
        <v>369</v>
      </c>
      <c r="L39">
        <v>1191</v>
      </c>
      <c r="N39">
        <v>1013</v>
      </c>
      <c r="O39" t="s">
        <v>324</v>
      </c>
      <c r="P39" t="s">
        <v>324</v>
      </c>
      <c r="Q39">
        <v>1</v>
      </c>
      <c r="W39">
        <v>0</v>
      </c>
      <c r="X39">
        <v>-2012709214</v>
      </c>
      <c r="Y39">
        <f t="shared" si="9"/>
        <v>31.28</v>
      </c>
      <c r="AA39">
        <v>0</v>
      </c>
      <c r="AB39">
        <v>0</v>
      </c>
      <c r="AC39">
        <v>0</v>
      </c>
      <c r="AD39">
        <v>425.53</v>
      </c>
      <c r="AE39">
        <v>0</v>
      </c>
      <c r="AF39">
        <v>0</v>
      </c>
      <c r="AG39">
        <v>0</v>
      </c>
      <c r="AH39">
        <v>425.53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0</v>
      </c>
      <c r="AQ39">
        <v>1</v>
      </c>
      <c r="AR39">
        <v>0</v>
      </c>
      <c r="AS39" t="s">
        <v>3</v>
      </c>
      <c r="AT39">
        <v>31.28</v>
      </c>
      <c r="AU39" t="s">
        <v>3</v>
      </c>
      <c r="AV39">
        <v>1</v>
      </c>
      <c r="AW39">
        <v>2</v>
      </c>
      <c r="AX39">
        <v>61635960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13310.5784</v>
      </c>
      <c r="BN39">
        <v>31.28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13310.5784</v>
      </c>
      <c r="BU39">
        <v>31.28</v>
      </c>
      <c r="BV39">
        <v>0</v>
      </c>
      <c r="BW39">
        <v>1</v>
      </c>
      <c r="CU39">
        <f>ROUND(AT39*Source!I67*AH39*AL39,2)</f>
        <v>0</v>
      </c>
      <c r="CV39">
        <f>ROUND(Y39*Source!I67,7)</f>
        <v>0</v>
      </c>
      <c r="CW39">
        <v>0</v>
      </c>
      <c r="CX39">
        <f>ROUND(Y39*Source!I67,7)</f>
        <v>0</v>
      </c>
      <c r="CY39">
        <f>AD39</f>
        <v>425.53</v>
      </c>
      <c r="CZ39">
        <f>AH39</f>
        <v>425.53</v>
      </c>
      <c r="DA39">
        <f>AL39</f>
        <v>1</v>
      </c>
      <c r="DB39">
        <f t="shared" si="10"/>
        <v>13310.58</v>
      </c>
      <c r="DC39">
        <f t="shared" si="11"/>
        <v>0</v>
      </c>
      <c r="DD39" t="s">
        <v>3</v>
      </c>
      <c r="DE39" t="s">
        <v>3</v>
      </c>
      <c r="DF39">
        <f t="shared" si="12"/>
        <v>0</v>
      </c>
      <c r="DG39">
        <f t="shared" si="16"/>
        <v>0</v>
      </c>
      <c r="DH39">
        <f t="shared" si="14"/>
        <v>0</v>
      </c>
      <c r="DI39">
        <f t="shared" si="15"/>
        <v>0</v>
      </c>
      <c r="DJ39">
        <f>DI39</f>
        <v>0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ROW(Source!A67)</f>
        <v>67</v>
      </c>
      <c r="B40">
        <v>61635504</v>
      </c>
      <c r="C40">
        <v>61635950</v>
      </c>
      <c r="D40">
        <v>37064876</v>
      </c>
      <c r="E40">
        <v>108</v>
      </c>
      <c r="F40">
        <v>1</v>
      </c>
      <c r="G40">
        <v>1</v>
      </c>
      <c r="H40">
        <v>1</v>
      </c>
      <c r="I40" t="s">
        <v>322</v>
      </c>
      <c r="J40" t="s">
        <v>3</v>
      </c>
      <c r="K40" t="s">
        <v>323</v>
      </c>
      <c r="L40">
        <v>1191</v>
      </c>
      <c r="N40">
        <v>1013</v>
      </c>
      <c r="O40" t="s">
        <v>324</v>
      </c>
      <c r="P40" t="s">
        <v>324</v>
      </c>
      <c r="Q40">
        <v>1</v>
      </c>
      <c r="W40">
        <v>0</v>
      </c>
      <c r="X40">
        <v>-1417349443</v>
      </c>
      <c r="Y40">
        <f t="shared" si="9"/>
        <v>0.7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0</v>
      </c>
      <c r="AQ40">
        <v>1</v>
      </c>
      <c r="AR40">
        <v>0</v>
      </c>
      <c r="AS40" t="s">
        <v>3</v>
      </c>
      <c r="AT40">
        <v>0.7</v>
      </c>
      <c r="AU40" t="s">
        <v>3</v>
      </c>
      <c r="AV40">
        <v>2</v>
      </c>
      <c r="AW40">
        <v>2</v>
      </c>
      <c r="AX40">
        <v>61635961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ROUND(Y40*Source!I67,7)</f>
        <v>0</v>
      </c>
      <c r="CY40">
        <f>AD40</f>
        <v>0</v>
      </c>
      <c r="CZ40">
        <f>AH40</f>
        <v>0</v>
      </c>
      <c r="DA40">
        <f>AL40</f>
        <v>1</v>
      </c>
      <c r="DB40">
        <f t="shared" si="10"/>
        <v>0</v>
      </c>
      <c r="DC40">
        <f t="shared" si="11"/>
        <v>0</v>
      </c>
      <c r="DD40" t="s">
        <v>3</v>
      </c>
      <c r="DE40" t="s">
        <v>3</v>
      </c>
      <c r="DF40">
        <f t="shared" si="12"/>
        <v>0</v>
      </c>
      <c r="DG40">
        <f t="shared" si="16"/>
        <v>0</v>
      </c>
      <c r="DH40">
        <f t="shared" si="14"/>
        <v>0</v>
      </c>
      <c r="DI40">
        <f t="shared" si="15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ROW(Source!A67)</f>
        <v>67</v>
      </c>
      <c r="B41">
        <v>61635504</v>
      </c>
      <c r="C41">
        <v>61635950</v>
      </c>
      <c r="D41">
        <v>56571417</v>
      </c>
      <c r="E41">
        <v>1</v>
      </c>
      <c r="F41">
        <v>1</v>
      </c>
      <c r="G41">
        <v>1</v>
      </c>
      <c r="H41">
        <v>2</v>
      </c>
      <c r="I41" t="s">
        <v>325</v>
      </c>
      <c r="J41" t="s">
        <v>326</v>
      </c>
      <c r="K41" t="s">
        <v>327</v>
      </c>
      <c r="L41">
        <v>1368</v>
      </c>
      <c r="N41">
        <v>1011</v>
      </c>
      <c r="O41" t="s">
        <v>194</v>
      </c>
      <c r="P41" t="s">
        <v>194</v>
      </c>
      <c r="Q41">
        <v>1</v>
      </c>
      <c r="W41">
        <v>0</v>
      </c>
      <c r="X41">
        <v>-848025172</v>
      </c>
      <c r="Y41">
        <f t="shared" si="9"/>
        <v>0.35</v>
      </c>
      <c r="AA41">
        <v>0</v>
      </c>
      <c r="AB41">
        <v>1459.82</v>
      </c>
      <c r="AC41">
        <v>584.69000000000005</v>
      </c>
      <c r="AD41">
        <v>0</v>
      </c>
      <c r="AE41">
        <v>0</v>
      </c>
      <c r="AF41">
        <v>1459.82</v>
      </c>
      <c r="AG41">
        <v>584.69000000000005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0</v>
      </c>
      <c r="AQ41">
        <v>1</v>
      </c>
      <c r="AR41">
        <v>0</v>
      </c>
      <c r="AS41" t="s">
        <v>3</v>
      </c>
      <c r="AT41">
        <v>0.35</v>
      </c>
      <c r="AU41" t="s">
        <v>3</v>
      </c>
      <c r="AV41">
        <v>1</v>
      </c>
      <c r="AW41">
        <v>2</v>
      </c>
      <c r="AX41">
        <v>61635962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510.93699999999995</v>
      </c>
      <c r="BL41">
        <v>204.64150000000001</v>
      </c>
      <c r="BM41">
        <v>0</v>
      </c>
      <c r="BN41">
        <v>0</v>
      </c>
      <c r="BO41">
        <v>0.35</v>
      </c>
      <c r="BP41">
        <v>1</v>
      </c>
      <c r="BQ41">
        <v>0</v>
      </c>
      <c r="BR41">
        <v>510.93699999999995</v>
      </c>
      <c r="BS41">
        <v>204.64150000000001</v>
      </c>
      <c r="BT41">
        <v>0</v>
      </c>
      <c r="BU41">
        <v>0</v>
      </c>
      <c r="BV41">
        <v>0.35</v>
      </c>
      <c r="BW41">
        <v>1</v>
      </c>
      <c r="CV41">
        <v>0</v>
      </c>
      <c r="CW41">
        <f>ROUND(Y41*Source!I67*DO41,7)</f>
        <v>0</v>
      </c>
      <c r="CX41">
        <f>ROUND(Y41*Source!I67,7)</f>
        <v>0</v>
      </c>
      <c r="CY41">
        <f>AB41</f>
        <v>1459.82</v>
      </c>
      <c r="CZ41">
        <f>AF41</f>
        <v>1459.82</v>
      </c>
      <c r="DA41">
        <f>AJ41</f>
        <v>1</v>
      </c>
      <c r="DB41">
        <f t="shared" si="10"/>
        <v>510.94</v>
      </c>
      <c r="DC41">
        <f t="shared" si="11"/>
        <v>204.64</v>
      </c>
      <c r="DD41" t="s">
        <v>3</v>
      </c>
      <c r="DE41" t="s">
        <v>3</v>
      </c>
      <c r="DF41">
        <f t="shared" si="12"/>
        <v>0</v>
      </c>
      <c r="DG41">
        <f t="shared" si="16"/>
        <v>0</v>
      </c>
      <c r="DH41">
        <f t="shared" si="14"/>
        <v>0</v>
      </c>
      <c r="DI41">
        <f t="shared" si="15"/>
        <v>0</v>
      </c>
      <c r="DJ41">
        <f>DG41+DH41</f>
        <v>0</v>
      </c>
      <c r="DK41">
        <v>1</v>
      </c>
      <c r="DL41" t="s">
        <v>328</v>
      </c>
      <c r="DM41">
        <v>6</v>
      </c>
      <c r="DN41" t="s">
        <v>324</v>
      </c>
      <c r="DO41">
        <v>1</v>
      </c>
    </row>
    <row r="42" spans="1:119" x14ac:dyDescent="0.2">
      <c r="A42">
        <f>ROW(Source!A67)</f>
        <v>67</v>
      </c>
      <c r="B42">
        <v>61635504</v>
      </c>
      <c r="C42">
        <v>61635950</v>
      </c>
      <c r="D42">
        <v>56572833</v>
      </c>
      <c r="E42">
        <v>1</v>
      </c>
      <c r="F42">
        <v>1</v>
      </c>
      <c r="G42">
        <v>1</v>
      </c>
      <c r="H42">
        <v>2</v>
      </c>
      <c r="I42" t="s">
        <v>336</v>
      </c>
      <c r="J42" t="s">
        <v>337</v>
      </c>
      <c r="K42" t="s">
        <v>338</v>
      </c>
      <c r="L42">
        <v>1368</v>
      </c>
      <c r="N42">
        <v>1011</v>
      </c>
      <c r="O42" t="s">
        <v>194</v>
      </c>
      <c r="P42" t="s">
        <v>194</v>
      </c>
      <c r="Q42">
        <v>1</v>
      </c>
      <c r="W42">
        <v>0</v>
      </c>
      <c r="X42">
        <v>1230426758</v>
      </c>
      <c r="Y42">
        <f t="shared" si="9"/>
        <v>0.35</v>
      </c>
      <c r="AA42">
        <v>0</v>
      </c>
      <c r="AB42">
        <v>568.72</v>
      </c>
      <c r="AC42">
        <v>435.27</v>
      </c>
      <c r="AD42">
        <v>0</v>
      </c>
      <c r="AE42">
        <v>0</v>
      </c>
      <c r="AF42">
        <v>477.92</v>
      </c>
      <c r="AG42">
        <v>435.27</v>
      </c>
      <c r="AH42">
        <v>0</v>
      </c>
      <c r="AI42">
        <v>1</v>
      </c>
      <c r="AJ42">
        <v>1.19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0</v>
      </c>
      <c r="AQ42">
        <v>1</v>
      </c>
      <c r="AR42">
        <v>0</v>
      </c>
      <c r="AS42" t="s">
        <v>3</v>
      </c>
      <c r="AT42">
        <v>0.35</v>
      </c>
      <c r="AU42" t="s">
        <v>3</v>
      </c>
      <c r="AV42">
        <v>1</v>
      </c>
      <c r="AW42">
        <v>2</v>
      </c>
      <c r="AX42">
        <v>61635963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167.27199999999999</v>
      </c>
      <c r="BL42">
        <v>152.34449999999998</v>
      </c>
      <c r="BM42">
        <v>0</v>
      </c>
      <c r="BN42">
        <v>0</v>
      </c>
      <c r="BO42">
        <v>0.35</v>
      </c>
      <c r="BP42">
        <v>1</v>
      </c>
      <c r="BQ42">
        <v>0</v>
      </c>
      <c r="BR42">
        <v>167.27199999999999</v>
      </c>
      <c r="BS42">
        <v>152.34449999999998</v>
      </c>
      <c r="BT42">
        <v>0</v>
      </c>
      <c r="BU42">
        <v>0</v>
      </c>
      <c r="BV42">
        <v>0.35</v>
      </c>
      <c r="BW42">
        <v>1</v>
      </c>
      <c r="CV42">
        <v>0</v>
      </c>
      <c r="CW42">
        <f>ROUND(Y42*Source!I67*DO42,7)</f>
        <v>0</v>
      </c>
      <c r="CX42">
        <f>ROUND(Y42*Source!I67,7)</f>
        <v>0</v>
      </c>
      <c r="CY42">
        <f>AB42</f>
        <v>568.72</v>
      </c>
      <c r="CZ42">
        <f>AF42</f>
        <v>477.92</v>
      </c>
      <c r="DA42">
        <f>AJ42</f>
        <v>1.19</v>
      </c>
      <c r="DB42">
        <f t="shared" si="10"/>
        <v>167.27</v>
      </c>
      <c r="DC42">
        <f t="shared" si="11"/>
        <v>152.34</v>
      </c>
      <c r="DD42" t="s">
        <v>3</v>
      </c>
      <c r="DE42" t="s">
        <v>3</v>
      </c>
      <c r="DF42">
        <f t="shared" si="12"/>
        <v>0</v>
      </c>
      <c r="DG42">
        <f>ROUND(ROUND(AF42*AJ42,2)*CX42,2)</f>
        <v>0</v>
      </c>
      <c r="DH42">
        <f t="shared" si="14"/>
        <v>0</v>
      </c>
      <c r="DI42">
        <f t="shared" si="15"/>
        <v>0</v>
      </c>
      <c r="DJ42">
        <f>DG42+DH42</f>
        <v>0</v>
      </c>
      <c r="DK42">
        <v>1</v>
      </c>
      <c r="DL42" t="s">
        <v>335</v>
      </c>
      <c r="DM42">
        <v>4</v>
      </c>
      <c r="DN42" t="s">
        <v>324</v>
      </c>
      <c r="DO42">
        <v>1</v>
      </c>
    </row>
    <row r="43" spans="1:119" x14ac:dyDescent="0.2">
      <c r="A43">
        <f>ROW(Source!A67)</f>
        <v>67</v>
      </c>
      <c r="B43">
        <v>61635504</v>
      </c>
      <c r="C43">
        <v>61635950</v>
      </c>
      <c r="D43">
        <v>56573153</v>
      </c>
      <c r="E43">
        <v>1</v>
      </c>
      <c r="F43">
        <v>1</v>
      </c>
      <c r="G43">
        <v>1</v>
      </c>
      <c r="H43">
        <v>2</v>
      </c>
      <c r="I43" t="s">
        <v>350</v>
      </c>
      <c r="J43" t="s">
        <v>351</v>
      </c>
      <c r="K43" t="s">
        <v>352</v>
      </c>
      <c r="L43">
        <v>1368</v>
      </c>
      <c r="N43">
        <v>1011</v>
      </c>
      <c r="O43" t="s">
        <v>194</v>
      </c>
      <c r="P43" t="s">
        <v>194</v>
      </c>
      <c r="Q43">
        <v>1</v>
      </c>
      <c r="W43">
        <v>0</v>
      </c>
      <c r="X43">
        <v>1280601743</v>
      </c>
      <c r="Y43">
        <f t="shared" si="9"/>
        <v>2.16</v>
      </c>
      <c r="AA43">
        <v>0</v>
      </c>
      <c r="AB43">
        <v>25.86</v>
      </c>
      <c r="AC43">
        <v>0</v>
      </c>
      <c r="AD43">
        <v>0</v>
      </c>
      <c r="AE43">
        <v>0</v>
      </c>
      <c r="AF43">
        <v>25.86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0</v>
      </c>
      <c r="AQ43">
        <v>1</v>
      </c>
      <c r="AR43">
        <v>0</v>
      </c>
      <c r="AS43" t="s">
        <v>3</v>
      </c>
      <c r="AT43">
        <v>2.16</v>
      </c>
      <c r="AU43" t="s">
        <v>3</v>
      </c>
      <c r="AV43">
        <v>1</v>
      </c>
      <c r="AW43">
        <v>2</v>
      </c>
      <c r="AX43">
        <v>61635964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55.857600000000005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55.857600000000005</v>
      </c>
      <c r="BS43">
        <v>0</v>
      </c>
      <c r="BT43">
        <v>0</v>
      </c>
      <c r="BU43">
        <v>0</v>
      </c>
      <c r="BV43">
        <v>0</v>
      </c>
      <c r="BW43">
        <v>1</v>
      </c>
      <c r="CV43">
        <v>0</v>
      </c>
      <c r="CW43">
        <f>ROUND(Y43*Source!I67*DO43,7)</f>
        <v>0</v>
      </c>
      <c r="CX43">
        <f>ROUND(Y43*Source!I67,7)</f>
        <v>0</v>
      </c>
      <c r="CY43">
        <f>AB43</f>
        <v>25.86</v>
      </c>
      <c r="CZ43">
        <f>AF43</f>
        <v>25.86</v>
      </c>
      <c r="DA43">
        <f>AJ43</f>
        <v>1</v>
      </c>
      <c r="DB43">
        <f t="shared" si="10"/>
        <v>55.86</v>
      </c>
      <c r="DC43">
        <f t="shared" si="11"/>
        <v>0</v>
      </c>
      <c r="DD43" t="s">
        <v>3</v>
      </c>
      <c r="DE43" t="s">
        <v>3</v>
      </c>
      <c r="DF43">
        <f t="shared" si="12"/>
        <v>0</v>
      </c>
      <c r="DG43">
        <f t="shared" ref="DG43:DG50" si="17">ROUND(ROUND(AF43,2)*CX43,2)</f>
        <v>0</v>
      </c>
      <c r="DH43">
        <f t="shared" si="14"/>
        <v>0</v>
      </c>
      <c r="DI43">
        <f t="shared" si="15"/>
        <v>0</v>
      </c>
      <c r="DJ43">
        <f>DG43+DH43</f>
        <v>0</v>
      </c>
      <c r="DK43">
        <v>1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ROW(Source!A67)</f>
        <v>67</v>
      </c>
      <c r="B44">
        <v>61635504</v>
      </c>
      <c r="C44">
        <v>61635950</v>
      </c>
      <c r="D44">
        <v>56577966</v>
      </c>
      <c r="E44">
        <v>1</v>
      </c>
      <c r="F44">
        <v>1</v>
      </c>
      <c r="G44">
        <v>1</v>
      </c>
      <c r="H44">
        <v>3</v>
      </c>
      <c r="I44" t="s">
        <v>370</v>
      </c>
      <c r="J44" t="s">
        <v>371</v>
      </c>
      <c r="K44" t="s">
        <v>372</v>
      </c>
      <c r="L44">
        <v>1383</v>
      </c>
      <c r="N44">
        <v>1013</v>
      </c>
      <c r="O44" t="s">
        <v>373</v>
      </c>
      <c r="P44" t="s">
        <v>373</v>
      </c>
      <c r="Q44">
        <v>1</v>
      </c>
      <c r="W44">
        <v>0</v>
      </c>
      <c r="X44">
        <v>-218356995</v>
      </c>
      <c r="Y44">
        <f t="shared" si="9"/>
        <v>1.1488</v>
      </c>
      <c r="AA44">
        <v>5.4</v>
      </c>
      <c r="AB44">
        <v>0</v>
      </c>
      <c r="AC44">
        <v>0</v>
      </c>
      <c r="AD44">
        <v>0</v>
      </c>
      <c r="AE44">
        <v>5.4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0</v>
      </c>
      <c r="AQ44">
        <v>1</v>
      </c>
      <c r="AR44">
        <v>0</v>
      </c>
      <c r="AS44" t="s">
        <v>3</v>
      </c>
      <c r="AT44">
        <v>1.1488</v>
      </c>
      <c r="AU44" t="s">
        <v>3</v>
      </c>
      <c r="AV44">
        <v>0</v>
      </c>
      <c r="AW44">
        <v>2</v>
      </c>
      <c r="AX44">
        <v>61635965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6.203520000000001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6.203520000000001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1</v>
      </c>
      <c r="CV44">
        <v>0</v>
      </c>
      <c r="CW44">
        <v>0</v>
      </c>
      <c r="CX44">
        <f>ROUND(Y44*Source!I67,7)</f>
        <v>0</v>
      </c>
      <c r="CY44">
        <f>AA44</f>
        <v>5.4</v>
      </c>
      <c r="CZ44">
        <f>AE44</f>
        <v>5.4</v>
      </c>
      <c r="DA44">
        <f>AI44</f>
        <v>1</v>
      </c>
      <c r="DB44">
        <f t="shared" si="10"/>
        <v>6.2</v>
      </c>
      <c r="DC44">
        <f t="shared" si="11"/>
        <v>0</v>
      </c>
      <c r="DD44" t="s">
        <v>3</v>
      </c>
      <c r="DE44" t="s">
        <v>3</v>
      </c>
      <c r="DF44">
        <f t="shared" si="12"/>
        <v>0</v>
      </c>
      <c r="DG44">
        <f t="shared" si="17"/>
        <v>0</v>
      </c>
      <c r="DH44">
        <f t="shared" si="14"/>
        <v>0</v>
      </c>
      <c r="DI44">
        <f t="shared" si="15"/>
        <v>0</v>
      </c>
      <c r="DJ44">
        <f>DF44</f>
        <v>0</v>
      </c>
      <c r="DK44">
        <v>1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ROW(Source!A67)</f>
        <v>67</v>
      </c>
      <c r="B45">
        <v>61635504</v>
      </c>
      <c r="C45">
        <v>61635950</v>
      </c>
      <c r="D45">
        <v>56579266</v>
      </c>
      <c r="E45">
        <v>1</v>
      </c>
      <c r="F45">
        <v>1</v>
      </c>
      <c r="G45">
        <v>1</v>
      </c>
      <c r="H45">
        <v>3</v>
      </c>
      <c r="I45" t="s">
        <v>374</v>
      </c>
      <c r="J45" t="s">
        <v>375</v>
      </c>
      <c r="K45" t="s">
        <v>376</v>
      </c>
      <c r="L45">
        <v>1346</v>
      </c>
      <c r="N45">
        <v>1009</v>
      </c>
      <c r="O45" t="s">
        <v>176</v>
      </c>
      <c r="P45" t="s">
        <v>176</v>
      </c>
      <c r="Q45">
        <v>1</v>
      </c>
      <c r="W45">
        <v>0</v>
      </c>
      <c r="X45">
        <v>-1545686836</v>
      </c>
      <c r="Y45">
        <f t="shared" si="9"/>
        <v>0.96</v>
      </c>
      <c r="AA45">
        <v>147.85</v>
      </c>
      <c r="AB45">
        <v>0</v>
      </c>
      <c r="AC45">
        <v>0</v>
      </c>
      <c r="AD45">
        <v>0</v>
      </c>
      <c r="AE45">
        <v>155.63</v>
      </c>
      <c r="AF45">
        <v>0</v>
      </c>
      <c r="AG45">
        <v>0</v>
      </c>
      <c r="AH45">
        <v>0</v>
      </c>
      <c r="AI45">
        <v>0.95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0</v>
      </c>
      <c r="AQ45">
        <v>1</v>
      </c>
      <c r="AR45">
        <v>0</v>
      </c>
      <c r="AS45" t="s">
        <v>3</v>
      </c>
      <c r="AT45">
        <v>0.96</v>
      </c>
      <c r="AU45" t="s">
        <v>3</v>
      </c>
      <c r="AV45">
        <v>0</v>
      </c>
      <c r="AW45">
        <v>2</v>
      </c>
      <c r="AX45">
        <v>61635966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149.40479999999999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149.40479999999999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CV45">
        <v>0</v>
      </c>
      <c r="CW45">
        <v>0</v>
      </c>
      <c r="CX45">
        <f>ROUND(Y45*Source!I67,7)</f>
        <v>0</v>
      </c>
      <c r="CY45">
        <f>AA45</f>
        <v>147.85</v>
      </c>
      <c r="CZ45">
        <f>AE45</f>
        <v>155.63</v>
      </c>
      <c r="DA45">
        <f>AI45</f>
        <v>0.95</v>
      </c>
      <c r="DB45">
        <f t="shared" si="10"/>
        <v>149.4</v>
      </c>
      <c r="DC45">
        <f t="shared" si="11"/>
        <v>0</v>
      </c>
      <c r="DD45" t="s">
        <v>3</v>
      </c>
      <c r="DE45" t="s">
        <v>3</v>
      </c>
      <c r="DF45">
        <f>ROUND(ROUND(AE45*AI45,2)*CX45,2)</f>
        <v>0</v>
      </c>
      <c r="DG45">
        <f t="shared" si="17"/>
        <v>0</v>
      </c>
      <c r="DH45">
        <f t="shared" si="14"/>
        <v>0</v>
      </c>
      <c r="DI45">
        <f t="shared" si="15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ROW(Source!A67)</f>
        <v>67</v>
      </c>
      <c r="B46">
        <v>61635504</v>
      </c>
      <c r="C46">
        <v>61635950</v>
      </c>
      <c r="D46">
        <v>56609313</v>
      </c>
      <c r="E46">
        <v>1</v>
      </c>
      <c r="F46">
        <v>1</v>
      </c>
      <c r="G46">
        <v>1</v>
      </c>
      <c r="H46">
        <v>3</v>
      </c>
      <c r="I46" t="s">
        <v>377</v>
      </c>
      <c r="J46" t="s">
        <v>378</v>
      </c>
      <c r="K46" t="s">
        <v>379</v>
      </c>
      <c r="L46">
        <v>1346</v>
      </c>
      <c r="N46">
        <v>1009</v>
      </c>
      <c r="O46" t="s">
        <v>176</v>
      </c>
      <c r="P46" t="s">
        <v>176</v>
      </c>
      <c r="Q46">
        <v>1</v>
      </c>
      <c r="W46">
        <v>0</v>
      </c>
      <c r="X46">
        <v>-1118255046</v>
      </c>
      <c r="Y46">
        <f t="shared" si="9"/>
        <v>0.55000000000000004</v>
      </c>
      <c r="AA46">
        <v>212.89</v>
      </c>
      <c r="AB46">
        <v>0</v>
      </c>
      <c r="AC46">
        <v>0</v>
      </c>
      <c r="AD46">
        <v>0</v>
      </c>
      <c r="AE46">
        <v>160.07</v>
      </c>
      <c r="AF46">
        <v>0</v>
      </c>
      <c r="AG46">
        <v>0</v>
      </c>
      <c r="AH46">
        <v>0</v>
      </c>
      <c r="AI46">
        <v>1.33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0.55000000000000004</v>
      </c>
      <c r="AU46" t="s">
        <v>3</v>
      </c>
      <c r="AV46">
        <v>0</v>
      </c>
      <c r="AW46">
        <v>2</v>
      </c>
      <c r="AX46">
        <v>61635967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88.038499999999999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88.038499999999999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ROUND(Y46*Source!I67,7)</f>
        <v>0</v>
      </c>
      <c r="CY46">
        <f>AA46</f>
        <v>212.89</v>
      </c>
      <c r="CZ46">
        <f>AE46</f>
        <v>160.07</v>
      </c>
      <c r="DA46">
        <f>AI46</f>
        <v>1.33</v>
      </c>
      <c r="DB46">
        <f t="shared" si="10"/>
        <v>88.04</v>
      </c>
      <c r="DC46">
        <f t="shared" si="11"/>
        <v>0</v>
      </c>
      <c r="DD46" t="s">
        <v>3</v>
      </c>
      <c r="DE46" t="s">
        <v>3</v>
      </c>
      <c r="DF46">
        <f>ROUND(ROUND(AE46*AI46,2)*CX46,2)</f>
        <v>0</v>
      </c>
      <c r="DG46">
        <f t="shared" si="17"/>
        <v>0</v>
      </c>
      <c r="DH46">
        <f t="shared" si="14"/>
        <v>0</v>
      </c>
      <c r="DI46">
        <f t="shared" si="15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ROW(Source!A67)</f>
        <v>67</v>
      </c>
      <c r="B47">
        <v>61635504</v>
      </c>
      <c r="C47">
        <v>61635950</v>
      </c>
      <c r="D47">
        <v>56223463</v>
      </c>
      <c r="E47">
        <v>108</v>
      </c>
      <c r="F47">
        <v>1</v>
      </c>
      <c r="G47">
        <v>1</v>
      </c>
      <c r="H47">
        <v>3</v>
      </c>
      <c r="I47" t="s">
        <v>363</v>
      </c>
      <c r="J47" t="s">
        <v>3</v>
      </c>
      <c r="K47" t="s">
        <v>364</v>
      </c>
      <c r="L47">
        <v>3277935</v>
      </c>
      <c r="N47">
        <v>1013</v>
      </c>
      <c r="O47" t="s">
        <v>365</v>
      </c>
      <c r="P47" t="s">
        <v>365</v>
      </c>
      <c r="Q47">
        <v>1</v>
      </c>
      <c r="W47">
        <v>0</v>
      </c>
      <c r="X47">
        <v>274903907</v>
      </c>
      <c r="Y47">
        <f t="shared" si="9"/>
        <v>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0</v>
      </c>
      <c r="AQ47">
        <v>1</v>
      </c>
      <c r="AR47">
        <v>0</v>
      </c>
      <c r="AS47" t="s">
        <v>3</v>
      </c>
      <c r="AT47">
        <v>2</v>
      </c>
      <c r="AU47" t="s">
        <v>3</v>
      </c>
      <c r="AV47">
        <v>0</v>
      </c>
      <c r="AW47">
        <v>2</v>
      </c>
      <c r="AX47">
        <v>61635968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ROUND(Y47*Source!I67,7)</f>
        <v>0</v>
      </c>
      <c r="CY47">
        <f>AA47</f>
        <v>0</v>
      </c>
      <c r="CZ47">
        <f>AE47</f>
        <v>0</v>
      </c>
      <c r="DA47">
        <f>AI47</f>
        <v>1</v>
      </c>
      <c r="DB47">
        <f t="shared" si="10"/>
        <v>0</v>
      </c>
      <c r="DC47">
        <f t="shared" si="11"/>
        <v>0</v>
      </c>
      <c r="DD47" t="s">
        <v>3</v>
      </c>
      <c r="DE47" t="s">
        <v>3</v>
      </c>
      <c r="DF47">
        <f>ROUND(ROUND(AE47,2)*CX47,2)</f>
        <v>0</v>
      </c>
      <c r="DG47">
        <f t="shared" si="17"/>
        <v>0</v>
      </c>
      <c r="DH47">
        <f t="shared" si="14"/>
        <v>0</v>
      </c>
      <c r="DI47">
        <f t="shared" si="15"/>
        <v>0</v>
      </c>
      <c r="DJ47">
        <f>DF47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ROW(Source!A68)</f>
        <v>68</v>
      </c>
      <c r="B48">
        <v>61635504</v>
      </c>
      <c r="C48">
        <v>61635969</v>
      </c>
      <c r="D48">
        <v>37064878</v>
      </c>
      <c r="E48">
        <v>108</v>
      </c>
      <c r="F48">
        <v>1</v>
      </c>
      <c r="G48">
        <v>1</v>
      </c>
      <c r="H48">
        <v>1</v>
      </c>
      <c r="I48" t="s">
        <v>368</v>
      </c>
      <c r="J48" t="s">
        <v>3</v>
      </c>
      <c r="K48" t="s">
        <v>369</v>
      </c>
      <c r="L48">
        <v>1191</v>
      </c>
      <c r="N48">
        <v>1013</v>
      </c>
      <c r="O48" t="s">
        <v>324</v>
      </c>
      <c r="P48" t="s">
        <v>324</v>
      </c>
      <c r="Q48">
        <v>1</v>
      </c>
      <c r="W48">
        <v>0</v>
      </c>
      <c r="X48">
        <v>-2012709214</v>
      </c>
      <c r="Y48">
        <f t="shared" si="9"/>
        <v>11.68</v>
      </c>
      <c r="AA48">
        <v>0</v>
      </c>
      <c r="AB48">
        <v>0</v>
      </c>
      <c r="AC48">
        <v>0</v>
      </c>
      <c r="AD48">
        <v>425.53</v>
      </c>
      <c r="AE48">
        <v>0</v>
      </c>
      <c r="AF48">
        <v>0</v>
      </c>
      <c r="AG48">
        <v>0</v>
      </c>
      <c r="AH48">
        <v>425.53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0</v>
      </c>
      <c r="AQ48">
        <v>1</v>
      </c>
      <c r="AR48">
        <v>0</v>
      </c>
      <c r="AS48" t="s">
        <v>3</v>
      </c>
      <c r="AT48">
        <v>11.68</v>
      </c>
      <c r="AU48" t="s">
        <v>3</v>
      </c>
      <c r="AV48">
        <v>1</v>
      </c>
      <c r="AW48">
        <v>2</v>
      </c>
      <c r="AX48">
        <v>61635980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4970.1903999999995</v>
      </c>
      <c r="BN48">
        <v>11.68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4970.1903999999995</v>
      </c>
      <c r="BU48">
        <v>11.68</v>
      </c>
      <c r="BV48">
        <v>0</v>
      </c>
      <c r="BW48">
        <v>1</v>
      </c>
      <c r="CU48">
        <f>ROUND(AT48*Source!I68*AH48*AL48,2)</f>
        <v>0</v>
      </c>
      <c r="CV48">
        <f>ROUND(Y48*Source!I68,7)</f>
        <v>0</v>
      </c>
      <c r="CW48">
        <v>0</v>
      </c>
      <c r="CX48">
        <f>ROUND(Y48*Source!I68,7)</f>
        <v>0</v>
      </c>
      <c r="CY48">
        <f>AD48</f>
        <v>425.53</v>
      </c>
      <c r="CZ48">
        <f>AH48</f>
        <v>425.53</v>
      </c>
      <c r="DA48">
        <f>AL48</f>
        <v>1</v>
      </c>
      <c r="DB48">
        <f t="shared" si="10"/>
        <v>4970.1899999999996</v>
      </c>
      <c r="DC48">
        <f t="shared" si="11"/>
        <v>0</v>
      </c>
      <c r="DD48" t="s">
        <v>3</v>
      </c>
      <c r="DE48" t="s">
        <v>3</v>
      </c>
      <c r="DF48">
        <f>ROUND(ROUND(AE48,2)*CX48,2)</f>
        <v>0</v>
      </c>
      <c r="DG48">
        <f t="shared" si="17"/>
        <v>0</v>
      </c>
      <c r="DH48">
        <f t="shared" si="14"/>
        <v>0</v>
      </c>
      <c r="DI48">
        <f t="shared" si="15"/>
        <v>0</v>
      </c>
      <c r="DJ48">
        <f>DI48</f>
        <v>0</v>
      </c>
      <c r="DK48">
        <v>1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ROW(Source!A68)</f>
        <v>68</v>
      </c>
      <c r="B49">
        <v>61635504</v>
      </c>
      <c r="C49">
        <v>61635969</v>
      </c>
      <c r="D49">
        <v>37064876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3</v>
      </c>
      <c r="K49" t="s">
        <v>323</v>
      </c>
      <c r="L49">
        <v>1191</v>
      </c>
      <c r="N49">
        <v>1013</v>
      </c>
      <c r="O49" t="s">
        <v>324</v>
      </c>
      <c r="P49" t="s">
        <v>324</v>
      </c>
      <c r="Q49">
        <v>1</v>
      </c>
      <c r="W49">
        <v>0</v>
      </c>
      <c r="X49">
        <v>-1417349443</v>
      </c>
      <c r="Y49">
        <f t="shared" si="9"/>
        <v>0.22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0</v>
      </c>
      <c r="AQ49">
        <v>1</v>
      </c>
      <c r="AR49">
        <v>0</v>
      </c>
      <c r="AS49" t="s">
        <v>3</v>
      </c>
      <c r="AT49">
        <v>0.22</v>
      </c>
      <c r="AU49" t="s">
        <v>3</v>
      </c>
      <c r="AV49">
        <v>2</v>
      </c>
      <c r="AW49">
        <v>2</v>
      </c>
      <c r="AX49">
        <v>61635981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ROUND(Y49*Source!I68,7)</f>
        <v>0</v>
      </c>
      <c r="CY49">
        <f>AD49</f>
        <v>0</v>
      </c>
      <c r="CZ49">
        <f>AH49</f>
        <v>0</v>
      </c>
      <c r="DA49">
        <f>AL49</f>
        <v>1</v>
      </c>
      <c r="DB49">
        <f t="shared" si="10"/>
        <v>0</v>
      </c>
      <c r="DC49">
        <f t="shared" si="11"/>
        <v>0</v>
      </c>
      <c r="DD49" t="s">
        <v>3</v>
      </c>
      <c r="DE49" t="s">
        <v>3</v>
      </c>
      <c r="DF49">
        <f>ROUND(ROUND(AE49,2)*CX49,2)</f>
        <v>0</v>
      </c>
      <c r="DG49">
        <f t="shared" si="17"/>
        <v>0</v>
      </c>
      <c r="DH49">
        <f t="shared" si="14"/>
        <v>0</v>
      </c>
      <c r="DI49">
        <f t="shared" si="15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ROW(Source!A68)</f>
        <v>68</v>
      </c>
      <c r="B50">
        <v>61635504</v>
      </c>
      <c r="C50">
        <v>61635969</v>
      </c>
      <c r="D50">
        <v>56571417</v>
      </c>
      <c r="E50">
        <v>1</v>
      </c>
      <c r="F50">
        <v>1</v>
      </c>
      <c r="G50">
        <v>1</v>
      </c>
      <c r="H50">
        <v>2</v>
      </c>
      <c r="I50" t="s">
        <v>325</v>
      </c>
      <c r="J50" t="s">
        <v>326</v>
      </c>
      <c r="K50" t="s">
        <v>327</v>
      </c>
      <c r="L50">
        <v>1368</v>
      </c>
      <c r="N50">
        <v>1011</v>
      </c>
      <c r="O50" t="s">
        <v>194</v>
      </c>
      <c r="P50" t="s">
        <v>194</v>
      </c>
      <c r="Q50">
        <v>1</v>
      </c>
      <c r="W50">
        <v>0</v>
      </c>
      <c r="X50">
        <v>-848025172</v>
      </c>
      <c r="Y50">
        <f t="shared" si="9"/>
        <v>0.11</v>
      </c>
      <c r="AA50">
        <v>0</v>
      </c>
      <c r="AB50">
        <v>1459.82</v>
      </c>
      <c r="AC50">
        <v>584.69000000000005</v>
      </c>
      <c r="AD50">
        <v>0</v>
      </c>
      <c r="AE50">
        <v>0</v>
      </c>
      <c r="AF50">
        <v>1459.82</v>
      </c>
      <c r="AG50">
        <v>584.69000000000005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1</v>
      </c>
      <c r="AR50">
        <v>0</v>
      </c>
      <c r="AS50" t="s">
        <v>3</v>
      </c>
      <c r="AT50">
        <v>0.11</v>
      </c>
      <c r="AU50" t="s">
        <v>3</v>
      </c>
      <c r="AV50">
        <v>1</v>
      </c>
      <c r="AW50">
        <v>2</v>
      </c>
      <c r="AX50">
        <v>61635982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160.58019999999999</v>
      </c>
      <c r="BL50">
        <v>64.315900000000013</v>
      </c>
      <c r="BM50">
        <v>0</v>
      </c>
      <c r="BN50">
        <v>0</v>
      </c>
      <c r="BO50">
        <v>0.11</v>
      </c>
      <c r="BP50">
        <v>1</v>
      </c>
      <c r="BQ50">
        <v>0</v>
      </c>
      <c r="BR50">
        <v>160.58019999999999</v>
      </c>
      <c r="BS50">
        <v>64.315900000000013</v>
      </c>
      <c r="BT50">
        <v>0</v>
      </c>
      <c r="BU50">
        <v>0</v>
      </c>
      <c r="BV50">
        <v>0.11</v>
      </c>
      <c r="BW50">
        <v>1</v>
      </c>
      <c r="CV50">
        <v>0</v>
      </c>
      <c r="CW50">
        <f>ROUND(Y50*Source!I68*DO50,7)</f>
        <v>0</v>
      </c>
      <c r="CX50">
        <f>ROUND(Y50*Source!I68,7)</f>
        <v>0</v>
      </c>
      <c r="CY50">
        <f>AB50</f>
        <v>1459.82</v>
      </c>
      <c r="CZ50">
        <f>AF50</f>
        <v>1459.82</v>
      </c>
      <c r="DA50">
        <f>AJ50</f>
        <v>1</v>
      </c>
      <c r="DB50">
        <f t="shared" si="10"/>
        <v>160.58000000000001</v>
      </c>
      <c r="DC50">
        <f t="shared" si="11"/>
        <v>64.319999999999993</v>
      </c>
      <c r="DD50" t="s">
        <v>3</v>
      </c>
      <c r="DE50" t="s">
        <v>3</v>
      </c>
      <c r="DF50">
        <f>ROUND(ROUND(AE50,2)*CX50,2)</f>
        <v>0</v>
      </c>
      <c r="DG50">
        <f t="shared" si="17"/>
        <v>0</v>
      </c>
      <c r="DH50">
        <f t="shared" si="14"/>
        <v>0</v>
      </c>
      <c r="DI50">
        <f t="shared" si="15"/>
        <v>0</v>
      </c>
      <c r="DJ50">
        <f>DG50+DH50</f>
        <v>0</v>
      </c>
      <c r="DK50">
        <v>1</v>
      </c>
      <c r="DL50" t="s">
        <v>328</v>
      </c>
      <c r="DM50">
        <v>6</v>
      </c>
      <c r="DN50" t="s">
        <v>324</v>
      </c>
      <c r="DO50">
        <v>1</v>
      </c>
    </row>
    <row r="51" spans="1:119" x14ac:dyDescent="0.2">
      <c r="A51">
        <f>ROW(Source!A68)</f>
        <v>68</v>
      </c>
      <c r="B51">
        <v>61635504</v>
      </c>
      <c r="C51">
        <v>61635969</v>
      </c>
      <c r="D51">
        <v>56572833</v>
      </c>
      <c r="E51">
        <v>1</v>
      </c>
      <c r="F51">
        <v>1</v>
      </c>
      <c r="G51">
        <v>1</v>
      </c>
      <c r="H51">
        <v>2</v>
      </c>
      <c r="I51" t="s">
        <v>336</v>
      </c>
      <c r="J51" t="s">
        <v>337</v>
      </c>
      <c r="K51" t="s">
        <v>338</v>
      </c>
      <c r="L51">
        <v>1368</v>
      </c>
      <c r="N51">
        <v>1011</v>
      </c>
      <c r="O51" t="s">
        <v>194</v>
      </c>
      <c r="P51" t="s">
        <v>194</v>
      </c>
      <c r="Q51">
        <v>1</v>
      </c>
      <c r="W51">
        <v>0</v>
      </c>
      <c r="X51">
        <v>1230426758</v>
      </c>
      <c r="Y51">
        <f t="shared" si="9"/>
        <v>0.11</v>
      </c>
      <c r="AA51">
        <v>0</v>
      </c>
      <c r="AB51">
        <v>568.72</v>
      </c>
      <c r="AC51">
        <v>435.27</v>
      </c>
      <c r="AD51">
        <v>0</v>
      </c>
      <c r="AE51">
        <v>0</v>
      </c>
      <c r="AF51">
        <v>477.92</v>
      </c>
      <c r="AG51">
        <v>435.27</v>
      </c>
      <c r="AH51">
        <v>0</v>
      </c>
      <c r="AI51">
        <v>1</v>
      </c>
      <c r="AJ51">
        <v>1.19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0</v>
      </c>
      <c r="AQ51">
        <v>1</v>
      </c>
      <c r="AR51">
        <v>0</v>
      </c>
      <c r="AS51" t="s">
        <v>3</v>
      </c>
      <c r="AT51">
        <v>0.11</v>
      </c>
      <c r="AU51" t="s">
        <v>3</v>
      </c>
      <c r="AV51">
        <v>1</v>
      </c>
      <c r="AW51">
        <v>2</v>
      </c>
      <c r="AX51">
        <v>61635983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52.571200000000005</v>
      </c>
      <c r="BL51">
        <v>47.8797</v>
      </c>
      <c r="BM51">
        <v>0</v>
      </c>
      <c r="BN51">
        <v>0</v>
      </c>
      <c r="BO51">
        <v>0.11</v>
      </c>
      <c r="BP51">
        <v>1</v>
      </c>
      <c r="BQ51">
        <v>0</v>
      </c>
      <c r="BR51">
        <v>52.571200000000005</v>
      </c>
      <c r="BS51">
        <v>47.8797</v>
      </c>
      <c r="BT51">
        <v>0</v>
      </c>
      <c r="BU51">
        <v>0</v>
      </c>
      <c r="BV51">
        <v>0.11</v>
      </c>
      <c r="BW51">
        <v>1</v>
      </c>
      <c r="CV51">
        <v>0</v>
      </c>
      <c r="CW51">
        <f>ROUND(Y51*Source!I68*DO51,7)</f>
        <v>0</v>
      </c>
      <c r="CX51">
        <f>ROUND(Y51*Source!I68,7)</f>
        <v>0</v>
      </c>
      <c r="CY51">
        <f>AB51</f>
        <v>568.72</v>
      </c>
      <c r="CZ51">
        <f>AF51</f>
        <v>477.92</v>
      </c>
      <c r="DA51">
        <f>AJ51</f>
        <v>1.19</v>
      </c>
      <c r="DB51">
        <f t="shared" si="10"/>
        <v>52.57</v>
      </c>
      <c r="DC51">
        <f t="shared" si="11"/>
        <v>47.88</v>
      </c>
      <c r="DD51" t="s">
        <v>3</v>
      </c>
      <c r="DE51" t="s">
        <v>3</v>
      </c>
      <c r="DF51">
        <f>ROUND(ROUND(AE51,2)*CX51,2)</f>
        <v>0</v>
      </c>
      <c r="DG51">
        <f>ROUND(ROUND(AF51*AJ51,2)*CX51,2)</f>
        <v>0</v>
      </c>
      <c r="DH51">
        <f t="shared" si="14"/>
        <v>0</v>
      </c>
      <c r="DI51">
        <f t="shared" si="15"/>
        <v>0</v>
      </c>
      <c r="DJ51">
        <f>DG51+DH51</f>
        <v>0</v>
      </c>
      <c r="DK51">
        <v>1</v>
      </c>
      <c r="DL51" t="s">
        <v>335</v>
      </c>
      <c r="DM51">
        <v>4</v>
      </c>
      <c r="DN51" t="s">
        <v>324</v>
      </c>
      <c r="DO51">
        <v>1</v>
      </c>
    </row>
    <row r="52" spans="1:119" x14ac:dyDescent="0.2">
      <c r="A52">
        <f>ROW(Source!A68)</f>
        <v>68</v>
      </c>
      <c r="B52">
        <v>61635504</v>
      </c>
      <c r="C52">
        <v>61635969</v>
      </c>
      <c r="D52">
        <v>56578257</v>
      </c>
      <c r="E52">
        <v>1</v>
      </c>
      <c r="F52">
        <v>1</v>
      </c>
      <c r="G52">
        <v>1</v>
      </c>
      <c r="H52">
        <v>3</v>
      </c>
      <c r="I52" t="s">
        <v>380</v>
      </c>
      <c r="J52" t="s">
        <v>381</v>
      </c>
      <c r="K52" t="s">
        <v>382</v>
      </c>
      <c r="L52">
        <v>1301</v>
      </c>
      <c r="N52">
        <v>1003</v>
      </c>
      <c r="O52" t="s">
        <v>383</v>
      </c>
      <c r="P52" t="s">
        <v>383</v>
      </c>
      <c r="Q52">
        <v>1</v>
      </c>
      <c r="W52">
        <v>0</v>
      </c>
      <c r="X52">
        <v>971772098</v>
      </c>
      <c r="Y52">
        <f t="shared" si="9"/>
        <v>33.33</v>
      </c>
      <c r="AA52">
        <v>7.04</v>
      </c>
      <c r="AB52">
        <v>0</v>
      </c>
      <c r="AC52">
        <v>0</v>
      </c>
      <c r="AD52">
        <v>0</v>
      </c>
      <c r="AE52">
        <v>5.87</v>
      </c>
      <c r="AF52">
        <v>0</v>
      </c>
      <c r="AG52">
        <v>0</v>
      </c>
      <c r="AH52">
        <v>0</v>
      </c>
      <c r="AI52">
        <v>1.2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0</v>
      </c>
      <c r="AP52">
        <v>0</v>
      </c>
      <c r="AQ52">
        <v>1</v>
      </c>
      <c r="AR52">
        <v>0</v>
      </c>
      <c r="AS52" t="s">
        <v>3</v>
      </c>
      <c r="AT52">
        <v>33.33</v>
      </c>
      <c r="AU52" t="s">
        <v>3</v>
      </c>
      <c r="AV52">
        <v>0</v>
      </c>
      <c r="AW52">
        <v>2</v>
      </c>
      <c r="AX52">
        <v>61635984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195.64709999999999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195.64709999999999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v>0</v>
      </c>
      <c r="CX52">
        <f>ROUND(Y52*Source!I68,7)</f>
        <v>0</v>
      </c>
      <c r="CY52">
        <f t="shared" ref="CY52:CY57" si="18">AA52</f>
        <v>7.04</v>
      </c>
      <c r="CZ52">
        <f t="shared" ref="CZ52:CZ57" si="19">AE52</f>
        <v>5.87</v>
      </c>
      <c r="DA52">
        <f t="shared" ref="DA52:DA57" si="20">AI52</f>
        <v>1.2</v>
      </c>
      <c r="DB52">
        <f t="shared" si="10"/>
        <v>195.65</v>
      </c>
      <c r="DC52">
        <f t="shared" si="11"/>
        <v>0</v>
      </c>
      <c r="DD52" t="s">
        <v>3</v>
      </c>
      <c r="DE52" t="s">
        <v>3</v>
      </c>
      <c r="DF52">
        <f>ROUND(ROUND(AE52*AI52,2)*CX52,2)</f>
        <v>0</v>
      </c>
      <c r="DG52">
        <f t="shared" ref="DG52:DG60" si="21">ROUND(ROUND(AF52,2)*CX52,2)</f>
        <v>0</v>
      </c>
      <c r="DH52">
        <f t="shared" si="14"/>
        <v>0</v>
      </c>
      <c r="DI52">
        <f t="shared" si="15"/>
        <v>0</v>
      </c>
      <c r="DJ52">
        <f t="shared" ref="DJ52:DJ57" si="22">DF52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ROW(Source!A68)</f>
        <v>68</v>
      </c>
      <c r="B53">
        <v>61635504</v>
      </c>
      <c r="C53">
        <v>61635969</v>
      </c>
      <c r="D53">
        <v>56578556</v>
      </c>
      <c r="E53">
        <v>1</v>
      </c>
      <c r="F53">
        <v>1</v>
      </c>
      <c r="G53">
        <v>1</v>
      </c>
      <c r="H53">
        <v>3</v>
      </c>
      <c r="I53" t="s">
        <v>384</v>
      </c>
      <c r="J53" t="s">
        <v>385</v>
      </c>
      <c r="K53" t="s">
        <v>386</v>
      </c>
      <c r="L53">
        <v>1348</v>
      </c>
      <c r="N53">
        <v>1009</v>
      </c>
      <c r="O53" t="s">
        <v>356</v>
      </c>
      <c r="P53" t="s">
        <v>356</v>
      </c>
      <c r="Q53">
        <v>1000</v>
      </c>
      <c r="W53">
        <v>0</v>
      </c>
      <c r="X53">
        <v>2038976724</v>
      </c>
      <c r="Y53">
        <f t="shared" si="9"/>
        <v>1.2600000000000001E-3</v>
      </c>
      <c r="AA53">
        <v>52585.84</v>
      </c>
      <c r="AB53">
        <v>0</v>
      </c>
      <c r="AC53">
        <v>0</v>
      </c>
      <c r="AD53">
        <v>0</v>
      </c>
      <c r="AE53">
        <v>43821.53</v>
      </c>
      <c r="AF53">
        <v>0</v>
      </c>
      <c r="AG53">
        <v>0</v>
      </c>
      <c r="AH53">
        <v>0</v>
      </c>
      <c r="AI53">
        <v>1.2</v>
      </c>
      <c r="AJ53">
        <v>1</v>
      </c>
      <c r="AK53">
        <v>1</v>
      </c>
      <c r="AL53">
        <v>1</v>
      </c>
      <c r="AM53">
        <v>2</v>
      </c>
      <c r="AN53">
        <v>0</v>
      </c>
      <c r="AO53">
        <v>0</v>
      </c>
      <c r="AP53">
        <v>0</v>
      </c>
      <c r="AQ53">
        <v>1</v>
      </c>
      <c r="AR53">
        <v>0</v>
      </c>
      <c r="AS53" t="s">
        <v>3</v>
      </c>
      <c r="AT53">
        <v>1.2600000000000001E-3</v>
      </c>
      <c r="AU53" t="s">
        <v>3</v>
      </c>
      <c r="AV53">
        <v>0</v>
      </c>
      <c r="AW53">
        <v>2</v>
      </c>
      <c r="AX53">
        <v>61635985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55.215127799999998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55.215127799999998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v>0</v>
      </c>
      <c r="CX53">
        <f>ROUND(Y53*Source!I68,7)</f>
        <v>0</v>
      </c>
      <c r="CY53">
        <f t="shared" si="18"/>
        <v>52585.84</v>
      </c>
      <c r="CZ53">
        <f t="shared" si="19"/>
        <v>43821.53</v>
      </c>
      <c r="DA53">
        <f t="shared" si="20"/>
        <v>1.2</v>
      </c>
      <c r="DB53">
        <f t="shared" si="10"/>
        <v>55.22</v>
      </c>
      <c r="DC53">
        <f t="shared" si="11"/>
        <v>0</v>
      </c>
      <c r="DD53" t="s">
        <v>3</v>
      </c>
      <c r="DE53" t="s">
        <v>3</v>
      </c>
      <c r="DF53">
        <f>ROUND(ROUND(AE53*AI53,2)*CX53,2)</f>
        <v>0</v>
      </c>
      <c r="DG53">
        <f t="shared" si="21"/>
        <v>0</v>
      </c>
      <c r="DH53">
        <f t="shared" si="14"/>
        <v>0</v>
      </c>
      <c r="DI53">
        <f t="shared" si="15"/>
        <v>0</v>
      </c>
      <c r="DJ53">
        <f t="shared" si="22"/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ROW(Source!A68)</f>
        <v>68</v>
      </c>
      <c r="B54">
        <v>61635504</v>
      </c>
      <c r="C54">
        <v>61635969</v>
      </c>
      <c r="D54">
        <v>56610084</v>
      </c>
      <c r="E54">
        <v>1</v>
      </c>
      <c r="F54">
        <v>1</v>
      </c>
      <c r="G54">
        <v>1</v>
      </c>
      <c r="H54">
        <v>3</v>
      </c>
      <c r="I54" t="s">
        <v>357</v>
      </c>
      <c r="J54" t="s">
        <v>358</v>
      </c>
      <c r="K54" t="s">
        <v>359</v>
      </c>
      <c r="L54">
        <v>1346</v>
      </c>
      <c r="N54">
        <v>1009</v>
      </c>
      <c r="O54" t="s">
        <v>176</v>
      </c>
      <c r="P54" t="s">
        <v>176</v>
      </c>
      <c r="Q54">
        <v>1</v>
      </c>
      <c r="W54">
        <v>0</v>
      </c>
      <c r="X54">
        <v>50985725</v>
      </c>
      <c r="Y54">
        <f t="shared" ref="Y54:Y85" si="23">AT54</f>
        <v>0.02</v>
      </c>
      <c r="AA54">
        <v>104.64</v>
      </c>
      <c r="AB54">
        <v>0</v>
      </c>
      <c r="AC54">
        <v>0</v>
      </c>
      <c r="AD54">
        <v>0</v>
      </c>
      <c r="AE54">
        <v>79.88</v>
      </c>
      <c r="AF54">
        <v>0</v>
      </c>
      <c r="AG54">
        <v>0</v>
      </c>
      <c r="AH54">
        <v>0</v>
      </c>
      <c r="AI54">
        <v>1.31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0</v>
      </c>
      <c r="AQ54">
        <v>1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61635986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1.5975999999999999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1.5975999999999999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1</v>
      </c>
      <c r="CV54">
        <v>0</v>
      </c>
      <c r="CW54">
        <v>0</v>
      </c>
      <c r="CX54">
        <f>ROUND(Y54*Source!I68,7)</f>
        <v>0</v>
      </c>
      <c r="CY54">
        <f t="shared" si="18"/>
        <v>104.64</v>
      </c>
      <c r="CZ54">
        <f t="shared" si="19"/>
        <v>79.88</v>
      </c>
      <c r="DA54">
        <f t="shared" si="20"/>
        <v>1.31</v>
      </c>
      <c r="DB54">
        <f t="shared" ref="DB54:DB85" si="24">ROUND(ROUND(AT54*CZ54,2),6)</f>
        <v>1.6</v>
      </c>
      <c r="DC54">
        <f t="shared" ref="DC54:DC85" si="25">ROUND(ROUND(AT54*AG54,2),6)</f>
        <v>0</v>
      </c>
      <c r="DD54" t="s">
        <v>3</v>
      </c>
      <c r="DE54" t="s">
        <v>3</v>
      </c>
      <c r="DF54">
        <f>ROUND(ROUND(AE54*AI54,2)*CX54,2)</f>
        <v>0</v>
      </c>
      <c r="DG54">
        <f t="shared" si="21"/>
        <v>0</v>
      </c>
      <c r="DH54">
        <f t="shared" si="14"/>
        <v>0</v>
      </c>
      <c r="DI54">
        <f t="shared" si="15"/>
        <v>0</v>
      </c>
      <c r="DJ54">
        <f t="shared" si="22"/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ROW(Source!A68)</f>
        <v>68</v>
      </c>
      <c r="B55">
        <v>61635504</v>
      </c>
      <c r="C55">
        <v>61635969</v>
      </c>
      <c r="D55">
        <v>56622659</v>
      </c>
      <c r="E55">
        <v>1</v>
      </c>
      <c r="F55">
        <v>1</v>
      </c>
      <c r="G55">
        <v>1</v>
      </c>
      <c r="H55">
        <v>3</v>
      </c>
      <c r="I55" t="s">
        <v>387</v>
      </c>
      <c r="J55" t="s">
        <v>388</v>
      </c>
      <c r="K55" t="s">
        <v>389</v>
      </c>
      <c r="L55">
        <v>1425</v>
      </c>
      <c r="N55">
        <v>1013</v>
      </c>
      <c r="O55" t="s">
        <v>38</v>
      </c>
      <c r="P55" t="s">
        <v>38</v>
      </c>
      <c r="Q55">
        <v>1</v>
      </c>
      <c r="W55">
        <v>0</v>
      </c>
      <c r="X55">
        <v>360446070</v>
      </c>
      <c r="Y55">
        <f t="shared" si="23"/>
        <v>0.05</v>
      </c>
      <c r="AA55">
        <v>5410.74</v>
      </c>
      <c r="AB55">
        <v>0</v>
      </c>
      <c r="AC55">
        <v>0</v>
      </c>
      <c r="AD55">
        <v>0</v>
      </c>
      <c r="AE55">
        <v>4363.5</v>
      </c>
      <c r="AF55">
        <v>0</v>
      </c>
      <c r="AG55">
        <v>0</v>
      </c>
      <c r="AH55">
        <v>0</v>
      </c>
      <c r="AI55">
        <v>1.24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0</v>
      </c>
      <c r="AQ55">
        <v>1</v>
      </c>
      <c r="AR55">
        <v>0</v>
      </c>
      <c r="AS55" t="s">
        <v>3</v>
      </c>
      <c r="AT55">
        <v>0.05</v>
      </c>
      <c r="AU55" t="s">
        <v>3</v>
      </c>
      <c r="AV55">
        <v>0</v>
      </c>
      <c r="AW55">
        <v>2</v>
      </c>
      <c r="AX55">
        <v>61635987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218.17500000000001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218.17500000000001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1</v>
      </c>
      <c r="CV55">
        <v>0</v>
      </c>
      <c r="CW55">
        <v>0</v>
      </c>
      <c r="CX55">
        <f>ROUND(Y55*Source!I68,7)</f>
        <v>0</v>
      </c>
      <c r="CY55">
        <f t="shared" si="18"/>
        <v>5410.74</v>
      </c>
      <c r="CZ55">
        <f t="shared" si="19"/>
        <v>4363.5</v>
      </c>
      <c r="DA55">
        <f t="shared" si="20"/>
        <v>1.24</v>
      </c>
      <c r="DB55">
        <f t="shared" si="24"/>
        <v>218.18</v>
      </c>
      <c r="DC55">
        <f t="shared" si="25"/>
        <v>0</v>
      </c>
      <c r="DD55" t="s">
        <v>3</v>
      </c>
      <c r="DE55" t="s">
        <v>3</v>
      </c>
      <c r="DF55">
        <f>ROUND(ROUND(AE55*AI55,2)*CX55,2)</f>
        <v>0</v>
      </c>
      <c r="DG55">
        <f t="shared" si="21"/>
        <v>0</v>
      </c>
      <c r="DH55">
        <f t="shared" si="14"/>
        <v>0</v>
      </c>
      <c r="DI55">
        <f t="shared" si="15"/>
        <v>0</v>
      </c>
      <c r="DJ55">
        <f t="shared" si="22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ROW(Source!A68)</f>
        <v>68</v>
      </c>
      <c r="B56">
        <v>61635504</v>
      </c>
      <c r="C56">
        <v>61635969</v>
      </c>
      <c r="D56">
        <v>56622741</v>
      </c>
      <c r="E56">
        <v>1</v>
      </c>
      <c r="F56">
        <v>1</v>
      </c>
      <c r="G56">
        <v>1</v>
      </c>
      <c r="H56">
        <v>3</v>
      </c>
      <c r="I56" t="s">
        <v>390</v>
      </c>
      <c r="J56" t="s">
        <v>391</v>
      </c>
      <c r="K56" t="s">
        <v>392</v>
      </c>
      <c r="L56">
        <v>1407</v>
      </c>
      <c r="N56">
        <v>1013</v>
      </c>
      <c r="O56" t="s">
        <v>393</v>
      </c>
      <c r="P56" t="s">
        <v>393</v>
      </c>
      <c r="Q56">
        <v>1</v>
      </c>
      <c r="W56">
        <v>0</v>
      </c>
      <c r="X56">
        <v>-1546878518</v>
      </c>
      <c r="Y56">
        <f t="shared" si="23"/>
        <v>1.2200000000000001E-2</v>
      </c>
      <c r="AA56">
        <v>5245.25</v>
      </c>
      <c r="AB56">
        <v>0</v>
      </c>
      <c r="AC56">
        <v>0</v>
      </c>
      <c r="AD56">
        <v>0</v>
      </c>
      <c r="AE56">
        <v>4130.12</v>
      </c>
      <c r="AF56">
        <v>0</v>
      </c>
      <c r="AG56">
        <v>0</v>
      </c>
      <c r="AH56">
        <v>0</v>
      </c>
      <c r="AI56">
        <v>1.27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0</v>
      </c>
      <c r="AQ56">
        <v>1</v>
      </c>
      <c r="AR56">
        <v>0</v>
      </c>
      <c r="AS56" t="s">
        <v>3</v>
      </c>
      <c r="AT56">
        <v>1.2200000000000001E-2</v>
      </c>
      <c r="AU56" t="s">
        <v>3</v>
      </c>
      <c r="AV56">
        <v>0</v>
      </c>
      <c r="AW56">
        <v>2</v>
      </c>
      <c r="AX56">
        <v>61635988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50.387464000000001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50.387464000000001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1</v>
      </c>
      <c r="CV56">
        <v>0</v>
      </c>
      <c r="CW56">
        <v>0</v>
      </c>
      <c r="CX56">
        <f>ROUND(Y56*Source!I68,7)</f>
        <v>0</v>
      </c>
      <c r="CY56">
        <f t="shared" si="18"/>
        <v>5245.25</v>
      </c>
      <c r="CZ56">
        <f t="shared" si="19"/>
        <v>4130.12</v>
      </c>
      <c r="DA56">
        <f t="shared" si="20"/>
        <v>1.27</v>
      </c>
      <c r="DB56">
        <f t="shared" si="24"/>
        <v>50.39</v>
      </c>
      <c r="DC56">
        <f t="shared" si="25"/>
        <v>0</v>
      </c>
      <c r="DD56" t="s">
        <v>3</v>
      </c>
      <c r="DE56" t="s">
        <v>3</v>
      </c>
      <c r="DF56">
        <f>ROUND(ROUND(AE56*AI56,2)*CX56,2)</f>
        <v>0</v>
      </c>
      <c r="DG56">
        <f t="shared" si="21"/>
        <v>0</v>
      </c>
      <c r="DH56">
        <f t="shared" si="14"/>
        <v>0</v>
      </c>
      <c r="DI56">
        <f t="shared" si="15"/>
        <v>0</v>
      </c>
      <c r="DJ56">
        <f t="shared" si="22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ROW(Source!A68)</f>
        <v>68</v>
      </c>
      <c r="B57">
        <v>61635504</v>
      </c>
      <c r="C57">
        <v>61635969</v>
      </c>
      <c r="D57">
        <v>56223463</v>
      </c>
      <c r="E57">
        <v>108</v>
      </c>
      <c r="F57">
        <v>1</v>
      </c>
      <c r="G57">
        <v>1</v>
      </c>
      <c r="H57">
        <v>3</v>
      </c>
      <c r="I57" t="s">
        <v>363</v>
      </c>
      <c r="J57" t="s">
        <v>3</v>
      </c>
      <c r="K57" t="s">
        <v>364</v>
      </c>
      <c r="L57">
        <v>3277935</v>
      </c>
      <c r="N57">
        <v>1013</v>
      </c>
      <c r="O57" t="s">
        <v>365</v>
      </c>
      <c r="P57" t="s">
        <v>365</v>
      </c>
      <c r="Q57">
        <v>1</v>
      </c>
      <c r="W57">
        <v>0</v>
      </c>
      <c r="X57">
        <v>274903907</v>
      </c>
      <c r="Y57">
        <f t="shared" si="23"/>
        <v>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0</v>
      </c>
      <c r="AQ57">
        <v>1</v>
      </c>
      <c r="AR57">
        <v>0</v>
      </c>
      <c r="AS57" t="s">
        <v>3</v>
      </c>
      <c r="AT57">
        <v>2</v>
      </c>
      <c r="AU57" t="s">
        <v>3</v>
      </c>
      <c r="AV57">
        <v>0</v>
      </c>
      <c r="AW57">
        <v>2</v>
      </c>
      <c r="AX57">
        <v>61635989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ROUND(Y57*Source!I68,7)</f>
        <v>0</v>
      </c>
      <c r="CY57">
        <f t="shared" si="18"/>
        <v>0</v>
      </c>
      <c r="CZ57">
        <f t="shared" si="19"/>
        <v>0</v>
      </c>
      <c r="DA57">
        <f t="shared" si="20"/>
        <v>1</v>
      </c>
      <c r="DB57">
        <f t="shared" si="24"/>
        <v>0</v>
      </c>
      <c r="DC57">
        <f t="shared" si="25"/>
        <v>0</v>
      </c>
      <c r="DD57" t="s">
        <v>3</v>
      </c>
      <c r="DE57" t="s">
        <v>3</v>
      </c>
      <c r="DF57">
        <f t="shared" ref="DF57:DF62" si="26">ROUND(ROUND(AE57,2)*CX57,2)</f>
        <v>0</v>
      </c>
      <c r="DG57">
        <f t="shared" si="21"/>
        <v>0</v>
      </c>
      <c r="DH57">
        <f t="shared" si="14"/>
        <v>0</v>
      </c>
      <c r="DI57">
        <f t="shared" si="15"/>
        <v>0</v>
      </c>
      <c r="DJ57">
        <f t="shared" si="22"/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ROW(Source!A69)</f>
        <v>69</v>
      </c>
      <c r="B58">
        <v>61635504</v>
      </c>
      <c r="C58">
        <v>61635990</v>
      </c>
      <c r="D58">
        <v>60458000</v>
      </c>
      <c r="E58">
        <v>110</v>
      </c>
      <c r="F58">
        <v>1</v>
      </c>
      <c r="G58">
        <v>1</v>
      </c>
      <c r="H58">
        <v>1</v>
      </c>
      <c r="I58" t="s">
        <v>348</v>
      </c>
      <c r="J58" t="s">
        <v>3</v>
      </c>
      <c r="K58" t="s">
        <v>349</v>
      </c>
      <c r="L58">
        <v>1191</v>
      </c>
      <c r="N58">
        <v>1013</v>
      </c>
      <c r="O58" t="s">
        <v>324</v>
      </c>
      <c r="P58" t="s">
        <v>324</v>
      </c>
      <c r="Q58">
        <v>1</v>
      </c>
      <c r="W58">
        <v>0</v>
      </c>
      <c r="X58">
        <v>-1111239348</v>
      </c>
      <c r="Y58">
        <f t="shared" si="23"/>
        <v>41.2</v>
      </c>
      <c r="AA58">
        <v>0</v>
      </c>
      <c r="AB58">
        <v>0</v>
      </c>
      <c r="AC58">
        <v>0</v>
      </c>
      <c r="AD58">
        <v>435.27</v>
      </c>
      <c r="AE58">
        <v>0</v>
      </c>
      <c r="AF58">
        <v>0</v>
      </c>
      <c r="AG58">
        <v>0</v>
      </c>
      <c r="AH58">
        <v>435.27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41.2</v>
      </c>
      <c r="AU58" t="s">
        <v>3</v>
      </c>
      <c r="AV58">
        <v>1</v>
      </c>
      <c r="AW58">
        <v>2</v>
      </c>
      <c r="AX58">
        <v>61636479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17933.124</v>
      </c>
      <c r="BN58">
        <v>41.2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17933.124</v>
      </c>
      <c r="BU58">
        <v>41.2</v>
      </c>
      <c r="BV58">
        <v>0</v>
      </c>
      <c r="BW58">
        <v>1</v>
      </c>
      <c r="CU58">
        <f>ROUND(AT58*Source!I69*AH58*AL58,2)</f>
        <v>8966.56</v>
      </c>
      <c r="CV58">
        <f>ROUND(Y58*Source!I69,7)</f>
        <v>20.6</v>
      </c>
      <c r="CW58">
        <v>0</v>
      </c>
      <c r="CX58">
        <f>ROUND(Y58*Source!I69,7)</f>
        <v>20.6</v>
      </c>
      <c r="CY58">
        <f>AD58</f>
        <v>435.27</v>
      </c>
      <c r="CZ58">
        <f>AH58</f>
        <v>435.27</v>
      </c>
      <c r="DA58">
        <f>AL58</f>
        <v>1</v>
      </c>
      <c r="DB58">
        <f t="shared" si="24"/>
        <v>17933.12</v>
      </c>
      <c r="DC58">
        <f t="shared" si="25"/>
        <v>0</v>
      </c>
      <c r="DD58" t="s">
        <v>3</v>
      </c>
      <c r="DE58" t="s">
        <v>3</v>
      </c>
      <c r="DF58">
        <f t="shared" si="26"/>
        <v>0</v>
      </c>
      <c r="DG58">
        <f t="shared" si="21"/>
        <v>0</v>
      </c>
      <c r="DH58">
        <f t="shared" si="14"/>
        <v>0</v>
      </c>
      <c r="DI58">
        <f t="shared" si="15"/>
        <v>8966.56</v>
      </c>
      <c r="DJ58">
        <f>DI58</f>
        <v>8966.56</v>
      </c>
      <c r="DK58">
        <v>1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ROW(Source!A69)</f>
        <v>69</v>
      </c>
      <c r="B59">
        <v>61635504</v>
      </c>
      <c r="C59">
        <v>61635990</v>
      </c>
      <c r="D59">
        <v>60458172</v>
      </c>
      <c r="E59">
        <v>110</v>
      </c>
      <c r="F59">
        <v>1</v>
      </c>
      <c r="G59">
        <v>1</v>
      </c>
      <c r="H59">
        <v>1</v>
      </c>
      <c r="I59" t="s">
        <v>322</v>
      </c>
      <c r="J59" t="s">
        <v>3</v>
      </c>
      <c r="K59" t="s">
        <v>323</v>
      </c>
      <c r="L59">
        <v>1191</v>
      </c>
      <c r="N59">
        <v>1013</v>
      </c>
      <c r="O59" t="s">
        <v>324</v>
      </c>
      <c r="P59" t="s">
        <v>324</v>
      </c>
      <c r="Q59">
        <v>1</v>
      </c>
      <c r="W59">
        <v>0</v>
      </c>
      <c r="X59">
        <v>-1417349443</v>
      </c>
      <c r="Y59">
        <f t="shared" si="23"/>
        <v>0.2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0.2</v>
      </c>
      <c r="AU59" t="s">
        <v>3</v>
      </c>
      <c r="AV59">
        <v>2</v>
      </c>
      <c r="AW59">
        <v>2</v>
      </c>
      <c r="AX59">
        <v>61636480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ROUND(Y59*Source!I69,7)</f>
        <v>0.1</v>
      </c>
      <c r="CY59">
        <f>AD59</f>
        <v>0</v>
      </c>
      <c r="CZ59">
        <f>AH59</f>
        <v>0</v>
      </c>
      <c r="DA59">
        <f>AL59</f>
        <v>1</v>
      </c>
      <c r="DB59">
        <f t="shared" si="24"/>
        <v>0</v>
      </c>
      <c r="DC59">
        <f t="shared" si="25"/>
        <v>0</v>
      </c>
      <c r="DD59" t="s">
        <v>3</v>
      </c>
      <c r="DE59" t="s">
        <v>3</v>
      </c>
      <c r="DF59">
        <f t="shared" si="26"/>
        <v>0</v>
      </c>
      <c r="DG59">
        <f t="shared" si="21"/>
        <v>0</v>
      </c>
      <c r="DH59">
        <f t="shared" si="14"/>
        <v>0</v>
      </c>
      <c r="DI59">
        <f t="shared" si="15"/>
        <v>0</v>
      </c>
      <c r="DJ59">
        <f>DI59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ROW(Source!A69)</f>
        <v>69</v>
      </c>
      <c r="B60">
        <v>61635504</v>
      </c>
      <c r="C60">
        <v>61635990</v>
      </c>
      <c r="D60">
        <v>60465258</v>
      </c>
      <c r="E60">
        <v>1</v>
      </c>
      <c r="F60">
        <v>1</v>
      </c>
      <c r="G60">
        <v>1</v>
      </c>
      <c r="H60">
        <v>2</v>
      </c>
      <c r="I60" t="s">
        <v>325</v>
      </c>
      <c r="J60" t="s">
        <v>326</v>
      </c>
      <c r="K60" t="s">
        <v>327</v>
      </c>
      <c r="L60">
        <v>1368</v>
      </c>
      <c r="N60">
        <v>1011</v>
      </c>
      <c r="O60" t="s">
        <v>194</v>
      </c>
      <c r="P60" t="s">
        <v>194</v>
      </c>
      <c r="Q60">
        <v>1</v>
      </c>
      <c r="W60">
        <v>0</v>
      </c>
      <c r="X60">
        <v>-1112845829</v>
      </c>
      <c r="Y60">
        <f t="shared" si="23"/>
        <v>0.1</v>
      </c>
      <c r="AA60">
        <v>0</v>
      </c>
      <c r="AB60">
        <v>1459.82</v>
      </c>
      <c r="AC60">
        <v>584.69000000000005</v>
      </c>
      <c r="AD60">
        <v>0</v>
      </c>
      <c r="AE60">
        <v>0</v>
      </c>
      <c r="AF60">
        <v>1459.82</v>
      </c>
      <c r="AG60">
        <v>584.69000000000005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0.1</v>
      </c>
      <c r="AU60" t="s">
        <v>3</v>
      </c>
      <c r="AV60">
        <v>1</v>
      </c>
      <c r="AW60">
        <v>2</v>
      </c>
      <c r="AX60">
        <v>61636481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145.982</v>
      </c>
      <c r="BL60">
        <v>58.469000000000008</v>
      </c>
      <c r="BM60">
        <v>0</v>
      </c>
      <c r="BN60">
        <v>0</v>
      </c>
      <c r="BO60">
        <v>0.1</v>
      </c>
      <c r="BP60">
        <v>1</v>
      </c>
      <c r="BQ60">
        <v>0</v>
      </c>
      <c r="BR60">
        <v>145.982</v>
      </c>
      <c r="BS60">
        <v>58.469000000000008</v>
      </c>
      <c r="BT60">
        <v>0</v>
      </c>
      <c r="BU60">
        <v>0</v>
      </c>
      <c r="BV60">
        <v>0.1</v>
      </c>
      <c r="BW60">
        <v>1</v>
      </c>
      <c r="CV60">
        <v>0</v>
      </c>
      <c r="CW60">
        <f>ROUND(Y60*Source!I69*DO60,7)</f>
        <v>0.05</v>
      </c>
      <c r="CX60">
        <f>ROUND(Y60*Source!I69,7)</f>
        <v>0.05</v>
      </c>
      <c r="CY60">
        <f>AB60</f>
        <v>1459.82</v>
      </c>
      <c r="CZ60">
        <f>AF60</f>
        <v>1459.82</v>
      </c>
      <c r="DA60">
        <f>AJ60</f>
        <v>1</v>
      </c>
      <c r="DB60">
        <f t="shared" si="24"/>
        <v>145.97999999999999</v>
      </c>
      <c r="DC60">
        <f t="shared" si="25"/>
        <v>58.47</v>
      </c>
      <c r="DD60" t="s">
        <v>3</v>
      </c>
      <c r="DE60" t="s">
        <v>3</v>
      </c>
      <c r="DF60">
        <f t="shared" si="26"/>
        <v>0</v>
      </c>
      <c r="DG60">
        <f t="shared" si="21"/>
        <v>72.989999999999995</v>
      </c>
      <c r="DH60">
        <f t="shared" si="14"/>
        <v>29.23</v>
      </c>
      <c r="DI60">
        <f t="shared" si="15"/>
        <v>0</v>
      </c>
      <c r="DJ60">
        <f>DG60+DH60</f>
        <v>102.22</v>
      </c>
      <c r="DK60">
        <v>1</v>
      </c>
      <c r="DL60" t="s">
        <v>328</v>
      </c>
      <c r="DM60">
        <v>6</v>
      </c>
      <c r="DN60" t="s">
        <v>324</v>
      </c>
      <c r="DO60">
        <v>1</v>
      </c>
    </row>
    <row r="61" spans="1:119" x14ac:dyDescent="0.2">
      <c r="A61">
        <f>ROW(Source!A69)</f>
        <v>69</v>
      </c>
      <c r="B61">
        <v>61635504</v>
      </c>
      <c r="C61">
        <v>61635990</v>
      </c>
      <c r="D61">
        <v>60466143</v>
      </c>
      <c r="E61">
        <v>1</v>
      </c>
      <c r="F61">
        <v>1</v>
      </c>
      <c r="G61">
        <v>1</v>
      </c>
      <c r="H61">
        <v>2</v>
      </c>
      <c r="I61" t="s">
        <v>336</v>
      </c>
      <c r="J61" t="s">
        <v>337</v>
      </c>
      <c r="K61" t="s">
        <v>338</v>
      </c>
      <c r="L61">
        <v>1368</v>
      </c>
      <c r="N61">
        <v>1011</v>
      </c>
      <c r="O61" t="s">
        <v>194</v>
      </c>
      <c r="P61" t="s">
        <v>194</v>
      </c>
      <c r="Q61">
        <v>1</v>
      </c>
      <c r="W61">
        <v>0</v>
      </c>
      <c r="X61">
        <v>-1006353707</v>
      </c>
      <c r="Y61">
        <f t="shared" si="23"/>
        <v>0.1</v>
      </c>
      <c r="AA61">
        <v>0</v>
      </c>
      <c r="AB61">
        <v>568.72</v>
      </c>
      <c r="AC61">
        <v>435.27</v>
      </c>
      <c r="AD61">
        <v>0</v>
      </c>
      <c r="AE61">
        <v>0</v>
      </c>
      <c r="AF61">
        <v>477.92</v>
      </c>
      <c r="AG61">
        <v>435.27</v>
      </c>
      <c r="AH61">
        <v>0</v>
      </c>
      <c r="AI61">
        <v>1</v>
      </c>
      <c r="AJ61">
        <v>1.19</v>
      </c>
      <c r="AK61">
        <v>1</v>
      </c>
      <c r="AL61">
        <v>1</v>
      </c>
      <c r="AM61">
        <v>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3</v>
      </c>
      <c r="AT61">
        <v>0.1</v>
      </c>
      <c r="AU61" t="s">
        <v>3</v>
      </c>
      <c r="AV61">
        <v>1</v>
      </c>
      <c r="AW61">
        <v>2</v>
      </c>
      <c r="AX61">
        <v>61636482</v>
      </c>
      <c r="AY61">
        <v>1</v>
      </c>
      <c r="AZ61">
        <v>0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47.792000000000002</v>
      </c>
      <c r="BL61">
        <v>43.527000000000001</v>
      </c>
      <c r="BM61">
        <v>0</v>
      </c>
      <c r="BN61">
        <v>0</v>
      </c>
      <c r="BO61">
        <v>0.1</v>
      </c>
      <c r="BP61">
        <v>1</v>
      </c>
      <c r="BQ61">
        <v>0</v>
      </c>
      <c r="BR61">
        <v>47.792000000000002</v>
      </c>
      <c r="BS61">
        <v>43.527000000000001</v>
      </c>
      <c r="BT61">
        <v>0</v>
      </c>
      <c r="BU61">
        <v>0</v>
      </c>
      <c r="BV61">
        <v>0.1</v>
      </c>
      <c r="BW61">
        <v>1</v>
      </c>
      <c r="CV61">
        <v>0</v>
      </c>
      <c r="CW61">
        <f>ROUND(Y61*Source!I69*DO61,7)</f>
        <v>0.05</v>
      </c>
      <c r="CX61">
        <f>ROUND(Y61*Source!I69,7)</f>
        <v>0.05</v>
      </c>
      <c r="CY61">
        <f>AB61</f>
        <v>568.72</v>
      </c>
      <c r="CZ61">
        <f>AF61</f>
        <v>477.92</v>
      </c>
      <c r="DA61">
        <f>AJ61</f>
        <v>1.19</v>
      </c>
      <c r="DB61">
        <f t="shared" si="24"/>
        <v>47.79</v>
      </c>
      <c r="DC61">
        <f t="shared" si="25"/>
        <v>43.53</v>
      </c>
      <c r="DD61" t="s">
        <v>3</v>
      </c>
      <c r="DE61" t="s">
        <v>3</v>
      </c>
      <c r="DF61">
        <f t="shared" si="26"/>
        <v>0</v>
      </c>
      <c r="DG61">
        <f>ROUND(ROUND(AF61*AJ61,2)*CX61,2)</f>
        <v>28.44</v>
      </c>
      <c r="DH61">
        <f t="shared" si="14"/>
        <v>21.76</v>
      </c>
      <c r="DI61">
        <f t="shared" si="15"/>
        <v>0</v>
      </c>
      <c r="DJ61">
        <f>DG61+DH61</f>
        <v>50.2</v>
      </c>
      <c r="DK61">
        <v>1</v>
      </c>
      <c r="DL61" t="s">
        <v>335</v>
      </c>
      <c r="DM61">
        <v>4</v>
      </c>
      <c r="DN61" t="s">
        <v>324</v>
      </c>
      <c r="DO61">
        <v>1</v>
      </c>
    </row>
    <row r="62" spans="1:119" x14ac:dyDescent="0.2">
      <c r="A62">
        <f>ROW(Source!A69)</f>
        <v>69</v>
      </c>
      <c r="B62">
        <v>61635504</v>
      </c>
      <c r="C62">
        <v>61635990</v>
      </c>
      <c r="D62">
        <v>60466337</v>
      </c>
      <c r="E62">
        <v>1</v>
      </c>
      <c r="F62">
        <v>1</v>
      </c>
      <c r="G62">
        <v>1</v>
      </c>
      <c r="H62">
        <v>2</v>
      </c>
      <c r="I62" t="s">
        <v>350</v>
      </c>
      <c r="J62" t="s">
        <v>351</v>
      </c>
      <c r="K62" t="s">
        <v>352</v>
      </c>
      <c r="L62">
        <v>1368</v>
      </c>
      <c r="N62">
        <v>1011</v>
      </c>
      <c r="O62" t="s">
        <v>194</v>
      </c>
      <c r="P62" t="s">
        <v>194</v>
      </c>
      <c r="Q62">
        <v>1</v>
      </c>
      <c r="W62">
        <v>0</v>
      </c>
      <c r="X62">
        <v>-103238006</v>
      </c>
      <c r="Y62">
        <f t="shared" si="23"/>
        <v>0.16</v>
      </c>
      <c r="AA62">
        <v>0</v>
      </c>
      <c r="AB62">
        <v>25.86</v>
      </c>
      <c r="AC62">
        <v>0</v>
      </c>
      <c r="AD62">
        <v>0</v>
      </c>
      <c r="AE62">
        <v>0</v>
      </c>
      <c r="AF62">
        <v>25.86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0.16</v>
      </c>
      <c r="AU62" t="s">
        <v>3</v>
      </c>
      <c r="AV62">
        <v>1</v>
      </c>
      <c r="AW62">
        <v>2</v>
      </c>
      <c r="AX62">
        <v>61636483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4.1375999999999999</v>
      </c>
      <c r="BL62">
        <v>0</v>
      </c>
      <c r="BM62">
        <v>0</v>
      </c>
      <c r="BN62">
        <v>0</v>
      </c>
      <c r="BO62">
        <v>0</v>
      </c>
      <c r="BP62">
        <v>1</v>
      </c>
      <c r="BQ62">
        <v>0</v>
      </c>
      <c r="BR62">
        <v>4.1375999999999999</v>
      </c>
      <c r="BS62">
        <v>0</v>
      </c>
      <c r="BT62">
        <v>0</v>
      </c>
      <c r="BU62">
        <v>0</v>
      </c>
      <c r="BV62">
        <v>0</v>
      </c>
      <c r="BW62">
        <v>1</v>
      </c>
      <c r="CV62">
        <v>0</v>
      </c>
      <c r="CW62">
        <f>ROUND(Y62*Source!I69*DO62,7)</f>
        <v>0</v>
      </c>
      <c r="CX62">
        <f>ROUND(Y62*Source!I69,7)</f>
        <v>0.08</v>
      </c>
      <c r="CY62">
        <f>AB62</f>
        <v>25.86</v>
      </c>
      <c r="CZ62">
        <f>AF62</f>
        <v>25.86</v>
      </c>
      <c r="DA62">
        <f>AJ62</f>
        <v>1</v>
      </c>
      <c r="DB62">
        <f t="shared" si="24"/>
        <v>4.1399999999999997</v>
      </c>
      <c r="DC62">
        <f t="shared" si="25"/>
        <v>0</v>
      </c>
      <c r="DD62" t="s">
        <v>3</v>
      </c>
      <c r="DE62" t="s">
        <v>3</v>
      </c>
      <c r="DF62">
        <f t="shared" si="26"/>
        <v>0</v>
      </c>
      <c r="DG62">
        <f t="shared" ref="DG62:DG68" si="27">ROUND(ROUND(AF62,2)*CX62,2)</f>
        <v>2.0699999999999998</v>
      </c>
      <c r="DH62">
        <f t="shared" si="14"/>
        <v>0</v>
      </c>
      <c r="DI62">
        <f t="shared" si="15"/>
        <v>0</v>
      </c>
      <c r="DJ62">
        <f>DG62+DH62</f>
        <v>2.0699999999999998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ROW(Source!A69)</f>
        <v>69</v>
      </c>
      <c r="B63">
        <v>61635504</v>
      </c>
      <c r="C63">
        <v>61635990</v>
      </c>
      <c r="D63">
        <v>60539739</v>
      </c>
      <c r="E63">
        <v>1</v>
      </c>
      <c r="F63">
        <v>1</v>
      </c>
      <c r="G63">
        <v>1</v>
      </c>
      <c r="H63">
        <v>3</v>
      </c>
      <c r="I63" t="s">
        <v>353</v>
      </c>
      <c r="J63" t="s">
        <v>354</v>
      </c>
      <c r="K63" t="s">
        <v>355</v>
      </c>
      <c r="L63">
        <v>1348</v>
      </c>
      <c r="N63">
        <v>1009</v>
      </c>
      <c r="O63" t="s">
        <v>356</v>
      </c>
      <c r="P63" t="s">
        <v>356</v>
      </c>
      <c r="Q63">
        <v>1000</v>
      </c>
      <c r="W63">
        <v>0</v>
      </c>
      <c r="X63">
        <v>-1068221380</v>
      </c>
      <c r="Y63">
        <f t="shared" si="23"/>
        <v>3.0000000000000001E-3</v>
      </c>
      <c r="AA63">
        <v>62576.3</v>
      </c>
      <c r="AB63">
        <v>0</v>
      </c>
      <c r="AC63">
        <v>0</v>
      </c>
      <c r="AD63">
        <v>0</v>
      </c>
      <c r="AE63">
        <v>70310.45</v>
      </c>
      <c r="AF63">
        <v>0</v>
      </c>
      <c r="AG63">
        <v>0</v>
      </c>
      <c r="AH63">
        <v>0</v>
      </c>
      <c r="AI63">
        <v>0.89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3</v>
      </c>
      <c r="AT63">
        <v>3.0000000000000001E-3</v>
      </c>
      <c r="AU63" t="s">
        <v>3</v>
      </c>
      <c r="AV63">
        <v>0</v>
      </c>
      <c r="AW63">
        <v>2</v>
      </c>
      <c r="AX63">
        <v>61636484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210.93135000000001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1</v>
      </c>
      <c r="BQ63">
        <v>210.93135000000001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1</v>
      </c>
      <c r="CV63">
        <v>0</v>
      </c>
      <c r="CW63">
        <v>0</v>
      </c>
      <c r="CX63">
        <f>ROUND(Y63*Source!I69,7)</f>
        <v>1.5E-3</v>
      </c>
      <c r="CY63">
        <f>AA63</f>
        <v>62576.3</v>
      </c>
      <c r="CZ63">
        <f>AE63</f>
        <v>70310.45</v>
      </c>
      <c r="DA63">
        <f>AI63</f>
        <v>0.89</v>
      </c>
      <c r="DB63">
        <f t="shared" si="24"/>
        <v>210.93</v>
      </c>
      <c r="DC63">
        <f t="shared" si="25"/>
        <v>0</v>
      </c>
      <c r="DD63" t="s">
        <v>3</v>
      </c>
      <c r="DE63" t="s">
        <v>3</v>
      </c>
      <c r="DF63">
        <f>ROUND(ROUND(AE63*AI63,2)*CX63,2)</f>
        <v>93.86</v>
      </c>
      <c r="DG63">
        <f t="shared" si="27"/>
        <v>0</v>
      </c>
      <c r="DH63">
        <f t="shared" si="14"/>
        <v>0</v>
      </c>
      <c r="DI63">
        <f t="shared" si="15"/>
        <v>0</v>
      </c>
      <c r="DJ63">
        <f>DF63</f>
        <v>93.86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ROW(Source!A69)</f>
        <v>69</v>
      </c>
      <c r="B64">
        <v>61635504</v>
      </c>
      <c r="C64">
        <v>61635990</v>
      </c>
      <c r="D64">
        <v>60549173</v>
      </c>
      <c r="E64">
        <v>1</v>
      </c>
      <c r="F64">
        <v>1</v>
      </c>
      <c r="G64">
        <v>1</v>
      </c>
      <c r="H64">
        <v>3</v>
      </c>
      <c r="I64" t="s">
        <v>357</v>
      </c>
      <c r="J64" t="s">
        <v>358</v>
      </c>
      <c r="K64" t="s">
        <v>359</v>
      </c>
      <c r="L64">
        <v>1346</v>
      </c>
      <c r="N64">
        <v>1009</v>
      </c>
      <c r="O64" t="s">
        <v>176</v>
      </c>
      <c r="P64" t="s">
        <v>176</v>
      </c>
      <c r="Q64">
        <v>1</v>
      </c>
      <c r="W64">
        <v>0</v>
      </c>
      <c r="X64">
        <v>801841253</v>
      </c>
      <c r="Y64">
        <f t="shared" si="23"/>
        <v>0.8</v>
      </c>
      <c r="AA64">
        <v>104.64</v>
      </c>
      <c r="AB64">
        <v>0</v>
      </c>
      <c r="AC64">
        <v>0</v>
      </c>
      <c r="AD64">
        <v>0</v>
      </c>
      <c r="AE64">
        <v>79.88</v>
      </c>
      <c r="AF64">
        <v>0</v>
      </c>
      <c r="AG64">
        <v>0</v>
      </c>
      <c r="AH64">
        <v>0</v>
      </c>
      <c r="AI64">
        <v>1.31</v>
      </c>
      <c r="AJ64">
        <v>1</v>
      </c>
      <c r="AK64">
        <v>1</v>
      </c>
      <c r="AL64">
        <v>1</v>
      </c>
      <c r="AM64">
        <v>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0.8</v>
      </c>
      <c r="AU64" t="s">
        <v>3</v>
      </c>
      <c r="AV64">
        <v>0</v>
      </c>
      <c r="AW64">
        <v>2</v>
      </c>
      <c r="AX64">
        <v>61636485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63.903999999999996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1</v>
      </c>
      <c r="BQ64">
        <v>63.903999999999996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1</v>
      </c>
      <c r="CV64">
        <v>0</v>
      </c>
      <c r="CW64">
        <v>0</v>
      </c>
      <c r="CX64">
        <f>ROUND(Y64*Source!I69,7)</f>
        <v>0.4</v>
      </c>
      <c r="CY64">
        <f>AA64</f>
        <v>104.64</v>
      </c>
      <c r="CZ64">
        <f>AE64</f>
        <v>79.88</v>
      </c>
      <c r="DA64">
        <f>AI64</f>
        <v>1.31</v>
      </c>
      <c r="DB64">
        <f t="shared" si="24"/>
        <v>63.9</v>
      </c>
      <c r="DC64">
        <f t="shared" si="25"/>
        <v>0</v>
      </c>
      <c r="DD64" t="s">
        <v>3</v>
      </c>
      <c r="DE64" t="s">
        <v>3</v>
      </c>
      <c r="DF64">
        <f>ROUND(ROUND(AE64*AI64,2)*CX64,2)</f>
        <v>41.86</v>
      </c>
      <c r="DG64">
        <f t="shared" si="27"/>
        <v>0</v>
      </c>
      <c r="DH64">
        <f t="shared" si="14"/>
        <v>0</v>
      </c>
      <c r="DI64">
        <f t="shared" si="15"/>
        <v>0</v>
      </c>
      <c r="DJ64">
        <f>DF64</f>
        <v>41.86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ROW(Source!A69)</f>
        <v>69</v>
      </c>
      <c r="B65">
        <v>61635504</v>
      </c>
      <c r="C65">
        <v>61635990</v>
      </c>
      <c r="D65">
        <v>60559328</v>
      </c>
      <c r="E65">
        <v>1</v>
      </c>
      <c r="F65">
        <v>1</v>
      </c>
      <c r="G65">
        <v>1</v>
      </c>
      <c r="H65">
        <v>3</v>
      </c>
      <c r="I65" t="s">
        <v>360</v>
      </c>
      <c r="J65" t="s">
        <v>361</v>
      </c>
      <c r="K65" t="s">
        <v>362</v>
      </c>
      <c r="L65">
        <v>1425</v>
      </c>
      <c r="N65">
        <v>1013</v>
      </c>
      <c r="O65" t="s">
        <v>38</v>
      </c>
      <c r="P65" t="s">
        <v>38</v>
      </c>
      <c r="Q65">
        <v>1</v>
      </c>
      <c r="W65">
        <v>0</v>
      </c>
      <c r="X65">
        <v>-599708484</v>
      </c>
      <c r="Y65">
        <f t="shared" si="23"/>
        <v>1.02</v>
      </c>
      <c r="AA65">
        <v>932.37</v>
      </c>
      <c r="AB65">
        <v>0</v>
      </c>
      <c r="AC65">
        <v>0</v>
      </c>
      <c r="AD65">
        <v>0</v>
      </c>
      <c r="AE65">
        <v>896.51</v>
      </c>
      <c r="AF65">
        <v>0</v>
      </c>
      <c r="AG65">
        <v>0</v>
      </c>
      <c r="AH65">
        <v>0</v>
      </c>
      <c r="AI65">
        <v>1.04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1.02</v>
      </c>
      <c r="AU65" t="s">
        <v>3</v>
      </c>
      <c r="AV65">
        <v>0</v>
      </c>
      <c r="AW65">
        <v>2</v>
      </c>
      <c r="AX65">
        <v>61636486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914.4402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914.4402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ROUND(Y65*Source!I69,7)</f>
        <v>0.51</v>
      </c>
      <c r="CY65">
        <f>AA65</f>
        <v>932.37</v>
      </c>
      <c r="CZ65">
        <f>AE65</f>
        <v>896.51</v>
      </c>
      <c r="DA65">
        <f>AI65</f>
        <v>1.04</v>
      </c>
      <c r="DB65">
        <f t="shared" si="24"/>
        <v>914.44</v>
      </c>
      <c r="DC65">
        <f t="shared" si="25"/>
        <v>0</v>
      </c>
      <c r="DD65" t="s">
        <v>3</v>
      </c>
      <c r="DE65" t="s">
        <v>3</v>
      </c>
      <c r="DF65">
        <f>ROUND(ROUND(AE65*AI65,2)*CX65,2)</f>
        <v>475.51</v>
      </c>
      <c r="DG65">
        <f t="shared" si="27"/>
        <v>0</v>
      </c>
      <c r="DH65">
        <f t="shared" ref="DH65:DH96" si="28">ROUND(ROUND(AG65,2)*CX65,2)</f>
        <v>0</v>
      </c>
      <c r="DI65">
        <f t="shared" ref="DI65:DI96" si="29">ROUND(ROUND(AH65,2)*CX65,2)</f>
        <v>0</v>
      </c>
      <c r="DJ65">
        <f>DF65</f>
        <v>475.51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ROW(Source!A69)</f>
        <v>69</v>
      </c>
      <c r="B66">
        <v>61635504</v>
      </c>
      <c r="C66">
        <v>61635990</v>
      </c>
      <c r="D66">
        <v>60463688</v>
      </c>
      <c r="E66">
        <v>110</v>
      </c>
      <c r="F66">
        <v>1</v>
      </c>
      <c r="G66">
        <v>1</v>
      </c>
      <c r="H66">
        <v>3</v>
      </c>
      <c r="I66" t="s">
        <v>363</v>
      </c>
      <c r="J66" t="s">
        <v>3</v>
      </c>
      <c r="K66" t="s">
        <v>364</v>
      </c>
      <c r="L66">
        <v>3277935</v>
      </c>
      <c r="N66">
        <v>1013</v>
      </c>
      <c r="O66" t="s">
        <v>365</v>
      </c>
      <c r="P66" t="s">
        <v>365</v>
      </c>
      <c r="Q66">
        <v>1</v>
      </c>
      <c r="W66">
        <v>0</v>
      </c>
      <c r="X66">
        <v>274903907</v>
      </c>
      <c r="Y66">
        <f t="shared" si="23"/>
        <v>2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2</v>
      </c>
      <c r="AU66" t="s">
        <v>3</v>
      </c>
      <c r="AV66">
        <v>0</v>
      </c>
      <c r="AW66">
        <v>2</v>
      </c>
      <c r="AX66">
        <v>61636487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ROUND(Y66*Source!I69,7)</f>
        <v>1</v>
      </c>
      <c r="CY66">
        <f>AA66</f>
        <v>0</v>
      </c>
      <c r="CZ66">
        <f>AE66</f>
        <v>0</v>
      </c>
      <c r="DA66">
        <f>AI66</f>
        <v>1</v>
      </c>
      <c r="DB66">
        <f t="shared" si="24"/>
        <v>0</v>
      </c>
      <c r="DC66">
        <f t="shared" si="25"/>
        <v>0</v>
      </c>
      <c r="DD66" t="s">
        <v>3</v>
      </c>
      <c r="DE66" t="s">
        <v>3</v>
      </c>
      <c r="DF66">
        <f>ROUND(ROUND(AE66,2)*CX66,2)</f>
        <v>0</v>
      </c>
      <c r="DG66">
        <f t="shared" si="27"/>
        <v>0</v>
      </c>
      <c r="DH66">
        <f t="shared" si="28"/>
        <v>0</v>
      </c>
      <c r="DI66">
        <f t="shared" si="29"/>
        <v>0</v>
      </c>
      <c r="DJ66">
        <f>DF66</f>
        <v>0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ROW(Source!A70)</f>
        <v>70</v>
      </c>
      <c r="B67">
        <v>61635504</v>
      </c>
      <c r="C67">
        <v>61636009</v>
      </c>
      <c r="D67">
        <v>60457984</v>
      </c>
      <c r="E67">
        <v>110</v>
      </c>
      <c r="F67">
        <v>1</v>
      </c>
      <c r="G67">
        <v>1</v>
      </c>
      <c r="H67">
        <v>1</v>
      </c>
      <c r="I67" t="s">
        <v>394</v>
      </c>
      <c r="J67" t="s">
        <v>3</v>
      </c>
      <c r="K67" t="s">
        <v>395</v>
      </c>
      <c r="L67">
        <v>1191</v>
      </c>
      <c r="N67">
        <v>1013</v>
      </c>
      <c r="O67" t="s">
        <v>324</v>
      </c>
      <c r="P67" t="s">
        <v>324</v>
      </c>
      <c r="Q67">
        <v>1</v>
      </c>
      <c r="W67">
        <v>0</v>
      </c>
      <c r="X67">
        <v>1893946532</v>
      </c>
      <c r="Y67">
        <f t="shared" si="23"/>
        <v>2.63</v>
      </c>
      <c r="AA67">
        <v>0</v>
      </c>
      <c r="AB67">
        <v>0</v>
      </c>
      <c r="AC67">
        <v>0</v>
      </c>
      <c r="AD67">
        <v>410.91</v>
      </c>
      <c r="AE67">
        <v>0</v>
      </c>
      <c r="AF67">
        <v>0</v>
      </c>
      <c r="AG67">
        <v>0</v>
      </c>
      <c r="AH67">
        <v>410.91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2.63</v>
      </c>
      <c r="AU67" t="s">
        <v>3</v>
      </c>
      <c r="AV67">
        <v>1</v>
      </c>
      <c r="AW67">
        <v>2</v>
      </c>
      <c r="AX67">
        <v>61636488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1080.6932999999999</v>
      </c>
      <c r="BN67">
        <v>2.63</v>
      </c>
      <c r="BO67">
        <v>0</v>
      </c>
      <c r="BP67">
        <v>1</v>
      </c>
      <c r="BQ67">
        <v>0</v>
      </c>
      <c r="BR67">
        <v>0</v>
      </c>
      <c r="BS67">
        <v>0</v>
      </c>
      <c r="BT67">
        <v>1080.6932999999999</v>
      </c>
      <c r="BU67">
        <v>2.63</v>
      </c>
      <c r="BV67">
        <v>0</v>
      </c>
      <c r="BW67">
        <v>1</v>
      </c>
      <c r="CU67">
        <f>ROUND(AT67*Source!I70*AH67*AL67,2)</f>
        <v>8645.5499999999993</v>
      </c>
      <c r="CV67">
        <f>ROUND(Y67*Source!I70,7)</f>
        <v>21.04</v>
      </c>
      <c r="CW67">
        <v>0</v>
      </c>
      <c r="CX67">
        <f>ROUND(Y67*Source!I70,7)</f>
        <v>21.04</v>
      </c>
      <c r="CY67">
        <f>AD67</f>
        <v>410.91</v>
      </c>
      <c r="CZ67">
        <f>AH67</f>
        <v>410.91</v>
      </c>
      <c r="DA67">
        <f>AL67</f>
        <v>1</v>
      </c>
      <c r="DB67">
        <f t="shared" si="24"/>
        <v>1080.69</v>
      </c>
      <c r="DC67">
        <f t="shared" si="25"/>
        <v>0</v>
      </c>
      <c r="DD67" t="s">
        <v>3</v>
      </c>
      <c r="DE67" t="s">
        <v>3</v>
      </c>
      <c r="DF67">
        <f>ROUND(ROUND(AE67,2)*CX67,2)</f>
        <v>0</v>
      </c>
      <c r="DG67">
        <f t="shared" si="27"/>
        <v>0</v>
      </c>
      <c r="DH67">
        <f t="shared" si="28"/>
        <v>0</v>
      </c>
      <c r="DI67">
        <f t="shared" si="29"/>
        <v>8645.5499999999993</v>
      </c>
      <c r="DJ67">
        <f>DI67</f>
        <v>8645.5499999999993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ROW(Source!A70)</f>
        <v>70</v>
      </c>
      <c r="B68">
        <v>61635504</v>
      </c>
      <c r="C68">
        <v>61636009</v>
      </c>
      <c r="D68">
        <v>60458172</v>
      </c>
      <c r="E68">
        <v>110</v>
      </c>
      <c r="F68">
        <v>1</v>
      </c>
      <c r="G68">
        <v>1</v>
      </c>
      <c r="H68">
        <v>1</v>
      </c>
      <c r="I68" t="s">
        <v>322</v>
      </c>
      <c r="J68" t="s">
        <v>3</v>
      </c>
      <c r="K68" t="s">
        <v>323</v>
      </c>
      <c r="L68">
        <v>1191</v>
      </c>
      <c r="N68">
        <v>1013</v>
      </c>
      <c r="O68" t="s">
        <v>324</v>
      </c>
      <c r="P68" t="s">
        <v>324</v>
      </c>
      <c r="Q68">
        <v>1</v>
      </c>
      <c r="W68">
        <v>0</v>
      </c>
      <c r="X68">
        <v>-1417349443</v>
      </c>
      <c r="Y68">
        <f t="shared" si="23"/>
        <v>0.27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0.27</v>
      </c>
      <c r="AU68" t="s">
        <v>3</v>
      </c>
      <c r="AV68">
        <v>2</v>
      </c>
      <c r="AW68">
        <v>2</v>
      </c>
      <c r="AX68">
        <v>61636489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ROUND(Y68*Source!I70,7)</f>
        <v>2.16</v>
      </c>
      <c r="CY68">
        <f>AD68</f>
        <v>0</v>
      </c>
      <c r="CZ68">
        <f>AH68</f>
        <v>0</v>
      </c>
      <c r="DA68">
        <f>AL68</f>
        <v>1</v>
      </c>
      <c r="DB68">
        <f t="shared" si="24"/>
        <v>0</v>
      </c>
      <c r="DC68">
        <f t="shared" si="25"/>
        <v>0</v>
      </c>
      <c r="DD68" t="s">
        <v>3</v>
      </c>
      <c r="DE68" t="s">
        <v>3</v>
      </c>
      <c r="DF68">
        <f>ROUND(ROUND(AE68,2)*CX68,2)</f>
        <v>0</v>
      </c>
      <c r="DG68">
        <f t="shared" si="27"/>
        <v>0</v>
      </c>
      <c r="DH68">
        <f t="shared" si="28"/>
        <v>0</v>
      </c>
      <c r="DI68">
        <f t="shared" si="29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ROW(Source!A70)</f>
        <v>70</v>
      </c>
      <c r="B69">
        <v>61635504</v>
      </c>
      <c r="C69">
        <v>61636009</v>
      </c>
      <c r="D69">
        <v>60465431</v>
      </c>
      <c r="E69">
        <v>1</v>
      </c>
      <c r="F69">
        <v>1</v>
      </c>
      <c r="G69">
        <v>1</v>
      </c>
      <c r="H69">
        <v>2</v>
      </c>
      <c r="I69" t="s">
        <v>332</v>
      </c>
      <c r="J69" t="s">
        <v>333</v>
      </c>
      <c r="K69" t="s">
        <v>334</v>
      </c>
      <c r="L69">
        <v>1368</v>
      </c>
      <c r="N69">
        <v>1011</v>
      </c>
      <c r="O69" t="s">
        <v>194</v>
      </c>
      <c r="P69" t="s">
        <v>194</v>
      </c>
      <c r="Q69">
        <v>1</v>
      </c>
      <c r="W69">
        <v>0</v>
      </c>
      <c r="X69">
        <v>237993052</v>
      </c>
      <c r="Y69">
        <f t="shared" si="23"/>
        <v>0.12</v>
      </c>
      <c r="AA69">
        <v>0</v>
      </c>
      <c r="AB69">
        <v>454.22</v>
      </c>
      <c r="AC69">
        <v>435.27</v>
      </c>
      <c r="AD69">
        <v>0</v>
      </c>
      <c r="AE69">
        <v>0</v>
      </c>
      <c r="AF69">
        <v>346.73</v>
      </c>
      <c r="AG69">
        <v>435.27</v>
      </c>
      <c r="AH69">
        <v>0</v>
      </c>
      <c r="AI69">
        <v>1</v>
      </c>
      <c r="AJ69">
        <v>1.31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0.12</v>
      </c>
      <c r="AU69" t="s">
        <v>3</v>
      </c>
      <c r="AV69">
        <v>1</v>
      </c>
      <c r="AW69">
        <v>2</v>
      </c>
      <c r="AX69">
        <v>61636490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41.607599999999998</v>
      </c>
      <c r="BL69">
        <v>52.232399999999998</v>
      </c>
      <c r="BM69">
        <v>0</v>
      </c>
      <c r="BN69">
        <v>0</v>
      </c>
      <c r="BO69">
        <v>0.12</v>
      </c>
      <c r="BP69">
        <v>1</v>
      </c>
      <c r="BQ69">
        <v>0</v>
      </c>
      <c r="BR69">
        <v>41.607599999999998</v>
      </c>
      <c r="BS69">
        <v>52.232399999999998</v>
      </c>
      <c r="BT69">
        <v>0</v>
      </c>
      <c r="BU69">
        <v>0</v>
      </c>
      <c r="BV69">
        <v>0.12</v>
      </c>
      <c r="BW69">
        <v>1</v>
      </c>
      <c r="CV69">
        <v>0</v>
      </c>
      <c r="CW69">
        <f>ROUND(Y69*Source!I70*DO69,7)</f>
        <v>0.96</v>
      </c>
      <c r="CX69">
        <f>ROUND(Y69*Source!I70,7)</f>
        <v>0.96</v>
      </c>
      <c r="CY69">
        <f>AB69</f>
        <v>454.22</v>
      </c>
      <c r="CZ69">
        <f>AF69</f>
        <v>346.73</v>
      </c>
      <c r="DA69">
        <f>AJ69</f>
        <v>1.31</v>
      </c>
      <c r="DB69">
        <f t="shared" si="24"/>
        <v>41.61</v>
      </c>
      <c r="DC69">
        <f t="shared" si="25"/>
        <v>52.23</v>
      </c>
      <c r="DD69" t="s">
        <v>3</v>
      </c>
      <c r="DE69" t="s">
        <v>3</v>
      </c>
      <c r="DF69">
        <f>ROUND(ROUND(AE69,2)*CX69,2)</f>
        <v>0</v>
      </c>
      <c r="DG69">
        <f>ROUND(ROUND(AF69*AJ69,2)*CX69,2)</f>
        <v>436.05</v>
      </c>
      <c r="DH69">
        <f t="shared" si="28"/>
        <v>417.86</v>
      </c>
      <c r="DI69">
        <f t="shared" si="29"/>
        <v>0</v>
      </c>
      <c r="DJ69">
        <f>DG69+DH69</f>
        <v>853.91000000000008</v>
      </c>
      <c r="DK69">
        <v>1</v>
      </c>
      <c r="DL69" t="s">
        <v>335</v>
      </c>
      <c r="DM69">
        <v>4</v>
      </c>
      <c r="DN69" t="s">
        <v>324</v>
      </c>
      <c r="DO69">
        <v>1</v>
      </c>
    </row>
    <row r="70" spans="1:119" x14ac:dyDescent="0.2">
      <c r="A70">
        <f>ROW(Source!A70)</f>
        <v>70</v>
      </c>
      <c r="B70">
        <v>61635504</v>
      </c>
      <c r="C70">
        <v>61636009</v>
      </c>
      <c r="D70">
        <v>60466143</v>
      </c>
      <c r="E70">
        <v>1</v>
      </c>
      <c r="F70">
        <v>1</v>
      </c>
      <c r="G70">
        <v>1</v>
      </c>
      <c r="H70">
        <v>2</v>
      </c>
      <c r="I70" t="s">
        <v>336</v>
      </c>
      <c r="J70" t="s">
        <v>337</v>
      </c>
      <c r="K70" t="s">
        <v>338</v>
      </c>
      <c r="L70">
        <v>1368</v>
      </c>
      <c r="N70">
        <v>1011</v>
      </c>
      <c r="O70" t="s">
        <v>194</v>
      </c>
      <c r="P70" t="s">
        <v>194</v>
      </c>
      <c r="Q70">
        <v>1</v>
      </c>
      <c r="W70">
        <v>0</v>
      </c>
      <c r="X70">
        <v>-1006353707</v>
      </c>
      <c r="Y70">
        <f t="shared" si="23"/>
        <v>0.15</v>
      </c>
      <c r="AA70">
        <v>0</v>
      </c>
      <c r="AB70">
        <v>568.72</v>
      </c>
      <c r="AC70">
        <v>435.27</v>
      </c>
      <c r="AD70">
        <v>0</v>
      </c>
      <c r="AE70">
        <v>0</v>
      </c>
      <c r="AF70">
        <v>477.92</v>
      </c>
      <c r="AG70">
        <v>435.27</v>
      </c>
      <c r="AH70">
        <v>0</v>
      </c>
      <c r="AI70">
        <v>1</v>
      </c>
      <c r="AJ70">
        <v>1.19</v>
      </c>
      <c r="AK70">
        <v>1</v>
      </c>
      <c r="AL70">
        <v>1</v>
      </c>
      <c r="AM70">
        <v>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0.15</v>
      </c>
      <c r="AU70" t="s">
        <v>3</v>
      </c>
      <c r="AV70">
        <v>1</v>
      </c>
      <c r="AW70">
        <v>2</v>
      </c>
      <c r="AX70">
        <v>61636491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71.688000000000002</v>
      </c>
      <c r="BL70">
        <v>65.290499999999994</v>
      </c>
      <c r="BM70">
        <v>0</v>
      </c>
      <c r="BN70">
        <v>0</v>
      </c>
      <c r="BO70">
        <v>0.15</v>
      </c>
      <c r="BP70">
        <v>1</v>
      </c>
      <c r="BQ70">
        <v>0</v>
      </c>
      <c r="BR70">
        <v>71.688000000000002</v>
      </c>
      <c r="BS70">
        <v>65.290499999999994</v>
      </c>
      <c r="BT70">
        <v>0</v>
      </c>
      <c r="BU70">
        <v>0</v>
      </c>
      <c r="BV70">
        <v>0.15</v>
      </c>
      <c r="BW70">
        <v>1</v>
      </c>
      <c r="CV70">
        <v>0</v>
      </c>
      <c r="CW70">
        <f>ROUND(Y70*Source!I70*DO70,7)</f>
        <v>1.2</v>
      </c>
      <c r="CX70">
        <f>ROUND(Y70*Source!I70,7)</f>
        <v>1.2</v>
      </c>
      <c r="CY70">
        <f>AB70</f>
        <v>568.72</v>
      </c>
      <c r="CZ70">
        <f>AF70</f>
        <v>477.92</v>
      </c>
      <c r="DA70">
        <f>AJ70</f>
        <v>1.19</v>
      </c>
      <c r="DB70">
        <f t="shared" si="24"/>
        <v>71.69</v>
      </c>
      <c r="DC70">
        <f t="shared" si="25"/>
        <v>65.290000000000006</v>
      </c>
      <c r="DD70" t="s">
        <v>3</v>
      </c>
      <c r="DE70" t="s">
        <v>3</v>
      </c>
      <c r="DF70">
        <f>ROUND(ROUND(AE70,2)*CX70,2)</f>
        <v>0</v>
      </c>
      <c r="DG70">
        <f>ROUND(ROUND(AF70*AJ70,2)*CX70,2)</f>
        <v>682.46</v>
      </c>
      <c r="DH70">
        <f t="shared" si="28"/>
        <v>522.32000000000005</v>
      </c>
      <c r="DI70">
        <f t="shared" si="29"/>
        <v>0</v>
      </c>
      <c r="DJ70">
        <f>DG70+DH70</f>
        <v>1204.7800000000002</v>
      </c>
      <c r="DK70">
        <v>1</v>
      </c>
      <c r="DL70" t="s">
        <v>335</v>
      </c>
      <c r="DM70">
        <v>4</v>
      </c>
      <c r="DN70" t="s">
        <v>324</v>
      </c>
      <c r="DO70">
        <v>1</v>
      </c>
    </row>
    <row r="71" spans="1:119" x14ac:dyDescent="0.2">
      <c r="A71">
        <f>ROW(Source!A70)</f>
        <v>70</v>
      </c>
      <c r="B71">
        <v>61635504</v>
      </c>
      <c r="C71">
        <v>61636009</v>
      </c>
      <c r="D71">
        <v>60529988</v>
      </c>
      <c r="E71">
        <v>1</v>
      </c>
      <c r="F71">
        <v>1</v>
      </c>
      <c r="G71">
        <v>1</v>
      </c>
      <c r="H71">
        <v>3</v>
      </c>
      <c r="I71" t="s">
        <v>396</v>
      </c>
      <c r="J71" t="s">
        <v>397</v>
      </c>
      <c r="K71" t="s">
        <v>398</v>
      </c>
      <c r="L71">
        <v>1346</v>
      </c>
      <c r="N71">
        <v>1009</v>
      </c>
      <c r="O71" t="s">
        <v>176</v>
      </c>
      <c r="P71" t="s">
        <v>176</v>
      </c>
      <c r="Q71">
        <v>1</v>
      </c>
      <c r="W71">
        <v>0</v>
      </c>
      <c r="X71">
        <v>-644022588</v>
      </c>
      <c r="Y71">
        <f t="shared" si="23"/>
        <v>0.5</v>
      </c>
      <c r="AA71">
        <v>490.88</v>
      </c>
      <c r="AB71">
        <v>0</v>
      </c>
      <c r="AC71">
        <v>0</v>
      </c>
      <c r="AD71">
        <v>0</v>
      </c>
      <c r="AE71">
        <v>238.29</v>
      </c>
      <c r="AF71">
        <v>0</v>
      </c>
      <c r="AG71">
        <v>0</v>
      </c>
      <c r="AH71">
        <v>0</v>
      </c>
      <c r="AI71">
        <v>2.06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0.5</v>
      </c>
      <c r="AU71" t="s">
        <v>3</v>
      </c>
      <c r="AV71">
        <v>0</v>
      </c>
      <c r="AW71">
        <v>2</v>
      </c>
      <c r="AX71">
        <v>61636492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119.145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119.145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1</v>
      </c>
      <c r="CV71">
        <v>0</v>
      </c>
      <c r="CW71">
        <v>0</v>
      </c>
      <c r="CX71">
        <f>ROUND(Y71*Source!I70,7)</f>
        <v>4</v>
      </c>
      <c r="CY71">
        <f t="shared" ref="CY71:CY77" si="30">AA71</f>
        <v>490.88</v>
      </c>
      <c r="CZ71">
        <f t="shared" ref="CZ71:CZ77" si="31">AE71</f>
        <v>238.29</v>
      </c>
      <c r="DA71">
        <f t="shared" ref="DA71:DA77" si="32">AI71</f>
        <v>2.06</v>
      </c>
      <c r="DB71">
        <f t="shared" si="24"/>
        <v>119.15</v>
      </c>
      <c r="DC71">
        <f t="shared" si="25"/>
        <v>0</v>
      </c>
      <c r="DD71" t="s">
        <v>3</v>
      </c>
      <c r="DE71" t="s">
        <v>3</v>
      </c>
      <c r="DF71">
        <f>ROUND(ROUND(AE71*AI71,2)*CX71,2)</f>
        <v>1963.52</v>
      </c>
      <c r="DG71">
        <f t="shared" ref="DG71:DG80" si="33">ROUND(ROUND(AF71,2)*CX71,2)</f>
        <v>0</v>
      </c>
      <c r="DH71">
        <f t="shared" si="28"/>
        <v>0</v>
      </c>
      <c r="DI71">
        <f t="shared" si="29"/>
        <v>0</v>
      </c>
      <c r="DJ71">
        <f t="shared" ref="DJ71:DJ77" si="34">DF71</f>
        <v>1963.52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ROW(Source!A70)</f>
        <v>70</v>
      </c>
      <c r="B72">
        <v>61635504</v>
      </c>
      <c r="C72">
        <v>61636009</v>
      </c>
      <c r="D72">
        <v>60532964</v>
      </c>
      <c r="E72">
        <v>1</v>
      </c>
      <c r="F72">
        <v>1</v>
      </c>
      <c r="G72">
        <v>1</v>
      </c>
      <c r="H72">
        <v>3</v>
      </c>
      <c r="I72" t="s">
        <v>399</v>
      </c>
      <c r="J72" t="s">
        <v>400</v>
      </c>
      <c r="K72" t="s">
        <v>401</v>
      </c>
      <c r="L72">
        <v>1346</v>
      </c>
      <c r="N72">
        <v>1009</v>
      </c>
      <c r="O72" t="s">
        <v>176</v>
      </c>
      <c r="P72" t="s">
        <v>176</v>
      </c>
      <c r="Q72">
        <v>1</v>
      </c>
      <c r="W72">
        <v>0</v>
      </c>
      <c r="X72">
        <v>912181421</v>
      </c>
      <c r="Y72">
        <f t="shared" si="23"/>
        <v>0</v>
      </c>
      <c r="AA72">
        <v>194.17</v>
      </c>
      <c r="AB72">
        <v>0</v>
      </c>
      <c r="AC72">
        <v>0</v>
      </c>
      <c r="AD72">
        <v>0</v>
      </c>
      <c r="AE72">
        <v>174.93</v>
      </c>
      <c r="AF72">
        <v>0</v>
      </c>
      <c r="AG72">
        <v>0</v>
      </c>
      <c r="AH72">
        <v>0</v>
      </c>
      <c r="AI72">
        <v>1.1100000000000001</v>
      </c>
      <c r="AJ72">
        <v>1</v>
      </c>
      <c r="AK72">
        <v>1</v>
      </c>
      <c r="AL72">
        <v>1</v>
      </c>
      <c r="AM72">
        <v>2</v>
      </c>
      <c r="AN72">
        <v>1</v>
      </c>
      <c r="AO72">
        <v>0</v>
      </c>
      <c r="AP72">
        <v>1</v>
      </c>
      <c r="AQ72">
        <v>1</v>
      </c>
      <c r="AR72">
        <v>0</v>
      </c>
      <c r="AS72" t="s">
        <v>3</v>
      </c>
      <c r="AT72">
        <v>0</v>
      </c>
      <c r="AU72" t="s">
        <v>3</v>
      </c>
      <c r="AV72">
        <v>0</v>
      </c>
      <c r="AW72">
        <v>2</v>
      </c>
      <c r="AX72">
        <v>61636493</v>
      </c>
      <c r="AY72">
        <v>1</v>
      </c>
      <c r="AZ72">
        <v>0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ROUND(Y72*Source!I70,7)</f>
        <v>0</v>
      </c>
      <c r="CY72">
        <f t="shared" si="30"/>
        <v>194.17</v>
      </c>
      <c r="CZ72">
        <f t="shared" si="31"/>
        <v>174.93</v>
      </c>
      <c r="DA72">
        <f t="shared" si="32"/>
        <v>1.1100000000000001</v>
      </c>
      <c r="DB72">
        <f t="shared" si="24"/>
        <v>0</v>
      </c>
      <c r="DC72">
        <f t="shared" si="25"/>
        <v>0</v>
      </c>
      <c r="DD72" t="s">
        <v>3</v>
      </c>
      <c r="DE72" t="s">
        <v>3</v>
      </c>
      <c r="DF72">
        <f>ROUND(ROUND(AE72*AI72,2)*CX72,2)</f>
        <v>0</v>
      </c>
      <c r="DG72">
        <f t="shared" si="33"/>
        <v>0</v>
      </c>
      <c r="DH72">
        <f t="shared" si="28"/>
        <v>0</v>
      </c>
      <c r="DI72">
        <f t="shared" si="29"/>
        <v>0</v>
      </c>
      <c r="DJ72">
        <f t="shared" si="34"/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ROW(Source!A70)</f>
        <v>70</v>
      </c>
      <c r="B73">
        <v>61635504</v>
      </c>
      <c r="C73">
        <v>61636009</v>
      </c>
      <c r="D73">
        <v>60460131</v>
      </c>
      <c r="E73">
        <v>110</v>
      </c>
      <c r="F73">
        <v>1</v>
      </c>
      <c r="G73">
        <v>1</v>
      </c>
      <c r="H73">
        <v>3</v>
      </c>
      <c r="I73" t="s">
        <v>402</v>
      </c>
      <c r="J73" t="s">
        <v>3</v>
      </c>
      <c r="K73" t="s">
        <v>403</v>
      </c>
      <c r="L73">
        <v>1348</v>
      </c>
      <c r="N73">
        <v>1009</v>
      </c>
      <c r="O73" t="s">
        <v>356</v>
      </c>
      <c r="P73" t="s">
        <v>356</v>
      </c>
      <c r="Q73">
        <v>1000</v>
      </c>
      <c r="W73">
        <v>0</v>
      </c>
      <c r="X73">
        <v>1602794472</v>
      </c>
      <c r="Y73">
        <f t="shared" si="23"/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1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0</v>
      </c>
      <c r="AU73" t="s">
        <v>3</v>
      </c>
      <c r="AV73">
        <v>0</v>
      </c>
      <c r="AW73">
        <v>2</v>
      </c>
      <c r="AX73">
        <v>61636494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ROUND(Y73*Source!I70,7)</f>
        <v>0</v>
      </c>
      <c r="CY73">
        <f t="shared" si="30"/>
        <v>0</v>
      </c>
      <c r="CZ73">
        <f t="shared" si="31"/>
        <v>0</v>
      </c>
      <c r="DA73">
        <f t="shared" si="32"/>
        <v>1</v>
      </c>
      <c r="DB73">
        <f t="shared" si="24"/>
        <v>0</v>
      </c>
      <c r="DC73">
        <f t="shared" si="25"/>
        <v>0</v>
      </c>
      <c r="DD73" t="s">
        <v>3</v>
      </c>
      <c r="DE73" t="s">
        <v>3</v>
      </c>
      <c r="DF73">
        <f t="shared" ref="DF73:DF82" si="35">ROUND(ROUND(AE73,2)*CX73,2)</f>
        <v>0</v>
      </c>
      <c r="DG73">
        <f t="shared" si="33"/>
        <v>0</v>
      </c>
      <c r="DH73">
        <f t="shared" si="28"/>
        <v>0</v>
      </c>
      <c r="DI73">
        <f t="shared" si="29"/>
        <v>0</v>
      </c>
      <c r="DJ73">
        <f t="shared" si="34"/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ROW(Source!A70)</f>
        <v>70</v>
      </c>
      <c r="B74">
        <v>61635504</v>
      </c>
      <c r="C74">
        <v>61636009</v>
      </c>
      <c r="D74">
        <v>60460260</v>
      </c>
      <c r="E74">
        <v>110</v>
      </c>
      <c r="F74">
        <v>1</v>
      </c>
      <c r="G74">
        <v>1</v>
      </c>
      <c r="H74">
        <v>3</v>
      </c>
      <c r="I74" t="s">
        <v>404</v>
      </c>
      <c r="J74" t="s">
        <v>3</v>
      </c>
      <c r="K74" t="s">
        <v>405</v>
      </c>
      <c r="L74">
        <v>1346</v>
      </c>
      <c r="N74">
        <v>1009</v>
      </c>
      <c r="O74" t="s">
        <v>176</v>
      </c>
      <c r="P74" t="s">
        <v>176</v>
      </c>
      <c r="Q74">
        <v>1</v>
      </c>
      <c r="W74">
        <v>0</v>
      </c>
      <c r="X74">
        <v>-1111733769</v>
      </c>
      <c r="Y74">
        <f t="shared" si="23"/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1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0</v>
      </c>
      <c r="AU74" t="s">
        <v>3</v>
      </c>
      <c r="AV74">
        <v>0</v>
      </c>
      <c r="AW74">
        <v>2</v>
      </c>
      <c r="AX74">
        <v>61636495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ROUND(Y74*Source!I70,7)</f>
        <v>0</v>
      </c>
      <c r="CY74">
        <f t="shared" si="30"/>
        <v>0</v>
      </c>
      <c r="CZ74">
        <f t="shared" si="31"/>
        <v>0</v>
      </c>
      <c r="DA74">
        <f t="shared" si="32"/>
        <v>1</v>
      </c>
      <c r="DB74">
        <f t="shared" si="24"/>
        <v>0</v>
      </c>
      <c r="DC74">
        <f t="shared" si="25"/>
        <v>0</v>
      </c>
      <c r="DD74" t="s">
        <v>3</v>
      </c>
      <c r="DE74" t="s">
        <v>3</v>
      </c>
      <c r="DF74">
        <f t="shared" si="35"/>
        <v>0</v>
      </c>
      <c r="DG74">
        <f t="shared" si="33"/>
        <v>0</v>
      </c>
      <c r="DH74">
        <f t="shared" si="28"/>
        <v>0</v>
      </c>
      <c r="DI74">
        <f t="shared" si="29"/>
        <v>0</v>
      </c>
      <c r="DJ74">
        <f t="shared" si="34"/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ROW(Source!A70)</f>
        <v>70</v>
      </c>
      <c r="B75">
        <v>61635504</v>
      </c>
      <c r="C75">
        <v>61636009</v>
      </c>
      <c r="D75">
        <v>60462770</v>
      </c>
      <c r="E75">
        <v>110</v>
      </c>
      <c r="F75">
        <v>1</v>
      </c>
      <c r="G75">
        <v>1</v>
      </c>
      <c r="H75">
        <v>3</v>
      </c>
      <c r="I75" t="s">
        <v>406</v>
      </c>
      <c r="J75" t="s">
        <v>3</v>
      </c>
      <c r="K75" t="s">
        <v>407</v>
      </c>
      <c r="L75">
        <v>1348</v>
      </c>
      <c r="N75">
        <v>1009</v>
      </c>
      <c r="O75" t="s">
        <v>356</v>
      </c>
      <c r="P75" t="s">
        <v>356</v>
      </c>
      <c r="Q75">
        <v>1000</v>
      </c>
      <c r="W75">
        <v>0</v>
      </c>
      <c r="X75">
        <v>-2074906300</v>
      </c>
      <c r="Y75">
        <f t="shared" si="23"/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1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</v>
      </c>
      <c r="AU75" t="s">
        <v>3</v>
      </c>
      <c r="AV75">
        <v>0</v>
      </c>
      <c r="AW75">
        <v>2</v>
      </c>
      <c r="AX75">
        <v>61636496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ROUND(Y75*Source!I70,7)</f>
        <v>0</v>
      </c>
      <c r="CY75">
        <f t="shared" si="30"/>
        <v>0</v>
      </c>
      <c r="CZ75">
        <f t="shared" si="31"/>
        <v>0</v>
      </c>
      <c r="DA75">
        <f t="shared" si="32"/>
        <v>1</v>
      </c>
      <c r="DB75">
        <f t="shared" si="24"/>
        <v>0</v>
      </c>
      <c r="DC75">
        <f t="shared" si="25"/>
        <v>0</v>
      </c>
      <c r="DD75" t="s">
        <v>3</v>
      </c>
      <c r="DE75" t="s">
        <v>3</v>
      </c>
      <c r="DF75">
        <f t="shared" si="35"/>
        <v>0</v>
      </c>
      <c r="DG75">
        <f t="shared" si="33"/>
        <v>0</v>
      </c>
      <c r="DH75">
        <f t="shared" si="28"/>
        <v>0</v>
      </c>
      <c r="DI75">
        <f t="shared" si="29"/>
        <v>0</v>
      </c>
      <c r="DJ75">
        <f t="shared" si="34"/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ROW(Source!A70)</f>
        <v>70</v>
      </c>
      <c r="B76">
        <v>61635504</v>
      </c>
      <c r="C76">
        <v>61636009</v>
      </c>
      <c r="D76">
        <v>60462799</v>
      </c>
      <c r="E76">
        <v>110</v>
      </c>
      <c r="F76">
        <v>1</v>
      </c>
      <c r="G76">
        <v>1</v>
      </c>
      <c r="H76">
        <v>3</v>
      </c>
      <c r="I76" t="s">
        <v>408</v>
      </c>
      <c r="J76" t="s">
        <v>3</v>
      </c>
      <c r="K76" t="s">
        <v>409</v>
      </c>
      <c r="L76">
        <v>1371</v>
      </c>
      <c r="N76">
        <v>1013</v>
      </c>
      <c r="O76" t="s">
        <v>126</v>
      </c>
      <c r="P76" t="s">
        <v>126</v>
      </c>
      <c r="Q76">
        <v>1</v>
      </c>
      <c r="W76">
        <v>0</v>
      </c>
      <c r="X76">
        <v>1740798612</v>
      </c>
      <c r="Y76">
        <f t="shared" si="23"/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1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0</v>
      </c>
      <c r="AU76" t="s">
        <v>3</v>
      </c>
      <c r="AV76">
        <v>0</v>
      </c>
      <c r="AW76">
        <v>2</v>
      </c>
      <c r="AX76">
        <v>61636497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ROUND(Y76*Source!I70,7)</f>
        <v>0</v>
      </c>
      <c r="CY76">
        <f t="shared" si="30"/>
        <v>0</v>
      </c>
      <c r="CZ76">
        <f t="shared" si="31"/>
        <v>0</v>
      </c>
      <c r="DA76">
        <f t="shared" si="32"/>
        <v>1</v>
      </c>
      <c r="DB76">
        <f t="shared" si="24"/>
        <v>0</v>
      </c>
      <c r="DC76">
        <f t="shared" si="25"/>
        <v>0</v>
      </c>
      <c r="DD76" t="s">
        <v>3</v>
      </c>
      <c r="DE76" t="s">
        <v>3</v>
      </c>
      <c r="DF76">
        <f t="shared" si="35"/>
        <v>0</v>
      </c>
      <c r="DG76">
        <f t="shared" si="33"/>
        <v>0</v>
      </c>
      <c r="DH76">
        <f t="shared" si="28"/>
        <v>0</v>
      </c>
      <c r="DI76">
        <f t="shared" si="29"/>
        <v>0</v>
      </c>
      <c r="DJ76">
        <f t="shared" si="34"/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ROW(Source!A70)</f>
        <v>70</v>
      </c>
      <c r="B77">
        <v>61635504</v>
      </c>
      <c r="C77">
        <v>61636009</v>
      </c>
      <c r="D77">
        <v>60462822</v>
      </c>
      <c r="E77">
        <v>110</v>
      </c>
      <c r="F77">
        <v>1</v>
      </c>
      <c r="G77">
        <v>1</v>
      </c>
      <c r="H77">
        <v>3</v>
      </c>
      <c r="I77" t="s">
        <v>410</v>
      </c>
      <c r="J77" t="s">
        <v>3</v>
      </c>
      <c r="K77" t="s">
        <v>411</v>
      </c>
      <c r="L77">
        <v>1346</v>
      </c>
      <c r="N77">
        <v>1009</v>
      </c>
      <c r="O77" t="s">
        <v>176</v>
      </c>
      <c r="P77" t="s">
        <v>176</v>
      </c>
      <c r="Q77">
        <v>1</v>
      </c>
      <c r="W77">
        <v>0</v>
      </c>
      <c r="X77">
        <v>86920782</v>
      </c>
      <c r="Y77">
        <f t="shared" si="23"/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1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</v>
      </c>
      <c r="AU77" t="s">
        <v>3</v>
      </c>
      <c r="AV77">
        <v>0</v>
      </c>
      <c r="AW77">
        <v>2</v>
      </c>
      <c r="AX77">
        <v>61636498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ROUND(Y77*Source!I70,7)</f>
        <v>0</v>
      </c>
      <c r="CY77">
        <f t="shared" si="30"/>
        <v>0</v>
      </c>
      <c r="CZ77">
        <f t="shared" si="31"/>
        <v>0</v>
      </c>
      <c r="DA77">
        <f t="shared" si="32"/>
        <v>1</v>
      </c>
      <c r="DB77">
        <f t="shared" si="24"/>
        <v>0</v>
      </c>
      <c r="DC77">
        <f t="shared" si="25"/>
        <v>0</v>
      </c>
      <c r="DD77" t="s">
        <v>3</v>
      </c>
      <c r="DE77" t="s">
        <v>3</v>
      </c>
      <c r="DF77">
        <f t="shared" si="35"/>
        <v>0</v>
      </c>
      <c r="DG77">
        <f t="shared" si="33"/>
        <v>0</v>
      </c>
      <c r="DH77">
        <f t="shared" si="28"/>
        <v>0</v>
      </c>
      <c r="DI77">
        <f t="shared" si="29"/>
        <v>0</v>
      </c>
      <c r="DJ77">
        <f t="shared" si="34"/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ROW(Source!A71)</f>
        <v>71</v>
      </c>
      <c r="B78">
        <v>61635504</v>
      </c>
      <c r="C78">
        <v>61636032</v>
      </c>
      <c r="D78">
        <v>60458018</v>
      </c>
      <c r="E78">
        <v>110</v>
      </c>
      <c r="F78">
        <v>1</v>
      </c>
      <c r="G78">
        <v>1</v>
      </c>
      <c r="H78">
        <v>1</v>
      </c>
      <c r="I78" t="s">
        <v>412</v>
      </c>
      <c r="J78" t="s">
        <v>3</v>
      </c>
      <c r="K78" t="s">
        <v>413</v>
      </c>
      <c r="L78">
        <v>1191</v>
      </c>
      <c r="N78">
        <v>1013</v>
      </c>
      <c r="O78" t="s">
        <v>324</v>
      </c>
      <c r="P78" t="s">
        <v>324</v>
      </c>
      <c r="Q78">
        <v>1</v>
      </c>
      <c r="W78">
        <v>0</v>
      </c>
      <c r="X78">
        <v>432497713</v>
      </c>
      <c r="Y78">
        <f t="shared" si="23"/>
        <v>4.2699999999999996</v>
      </c>
      <c r="AA78">
        <v>0</v>
      </c>
      <c r="AB78">
        <v>0</v>
      </c>
      <c r="AC78">
        <v>0</v>
      </c>
      <c r="AD78">
        <v>474.25</v>
      </c>
      <c r="AE78">
        <v>0</v>
      </c>
      <c r="AF78">
        <v>0</v>
      </c>
      <c r="AG78">
        <v>0</v>
      </c>
      <c r="AH78">
        <v>474.25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4.2699999999999996</v>
      </c>
      <c r="AU78" t="s">
        <v>3</v>
      </c>
      <c r="AV78">
        <v>1</v>
      </c>
      <c r="AW78">
        <v>2</v>
      </c>
      <c r="AX78">
        <v>61636499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2025.0474999999999</v>
      </c>
      <c r="BN78">
        <v>4.2699999999999996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2025.0474999999999</v>
      </c>
      <c r="BU78">
        <v>4.2699999999999996</v>
      </c>
      <c r="BV78">
        <v>0</v>
      </c>
      <c r="BW78">
        <v>1</v>
      </c>
      <c r="CU78">
        <f>ROUND(AT78*Source!I71*AH78*AL78,2)</f>
        <v>16200.38</v>
      </c>
      <c r="CV78">
        <f>ROUND(Y78*Source!I71,7)</f>
        <v>34.159999999999997</v>
      </c>
      <c r="CW78">
        <v>0</v>
      </c>
      <c r="CX78">
        <f>ROUND(Y78*Source!I71,7)</f>
        <v>34.159999999999997</v>
      </c>
      <c r="CY78">
        <f>AD78</f>
        <v>474.25</v>
      </c>
      <c r="CZ78">
        <f>AH78</f>
        <v>474.25</v>
      </c>
      <c r="DA78">
        <f>AL78</f>
        <v>1</v>
      </c>
      <c r="DB78">
        <f t="shared" si="24"/>
        <v>2025.05</v>
      </c>
      <c r="DC78">
        <f t="shared" si="25"/>
        <v>0</v>
      </c>
      <c r="DD78" t="s">
        <v>3</v>
      </c>
      <c r="DE78" t="s">
        <v>3</v>
      </c>
      <c r="DF78">
        <f t="shared" si="35"/>
        <v>0</v>
      </c>
      <c r="DG78">
        <f t="shared" si="33"/>
        <v>0</v>
      </c>
      <c r="DH78">
        <f t="shared" si="28"/>
        <v>0</v>
      </c>
      <c r="DI78">
        <f t="shared" si="29"/>
        <v>16200.38</v>
      </c>
      <c r="DJ78">
        <f>DI78</f>
        <v>16200.38</v>
      </c>
      <c r="DK78">
        <v>1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ROW(Source!A71)</f>
        <v>71</v>
      </c>
      <c r="B79">
        <v>61635504</v>
      </c>
      <c r="C79">
        <v>61636032</v>
      </c>
      <c r="D79">
        <v>60458172</v>
      </c>
      <c r="E79">
        <v>110</v>
      </c>
      <c r="F79">
        <v>1</v>
      </c>
      <c r="G79">
        <v>1</v>
      </c>
      <c r="H79">
        <v>1</v>
      </c>
      <c r="I79" t="s">
        <v>322</v>
      </c>
      <c r="J79" t="s">
        <v>3</v>
      </c>
      <c r="K79" t="s">
        <v>323</v>
      </c>
      <c r="L79">
        <v>1191</v>
      </c>
      <c r="N79">
        <v>1013</v>
      </c>
      <c r="O79" t="s">
        <v>324</v>
      </c>
      <c r="P79" t="s">
        <v>324</v>
      </c>
      <c r="Q79">
        <v>1</v>
      </c>
      <c r="W79">
        <v>0</v>
      </c>
      <c r="X79">
        <v>-1417349443</v>
      </c>
      <c r="Y79">
        <f t="shared" si="23"/>
        <v>3.73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3.73</v>
      </c>
      <c r="AU79" t="s">
        <v>3</v>
      </c>
      <c r="AV79">
        <v>2</v>
      </c>
      <c r="AW79">
        <v>2</v>
      </c>
      <c r="AX79">
        <v>61636500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ROUND(Y79*Source!I71,7)</f>
        <v>29.84</v>
      </c>
      <c r="CY79">
        <f>AD79</f>
        <v>0</v>
      </c>
      <c r="CZ79">
        <f>AH79</f>
        <v>0</v>
      </c>
      <c r="DA79">
        <f>AL79</f>
        <v>1</v>
      </c>
      <c r="DB79">
        <f t="shared" si="24"/>
        <v>0</v>
      </c>
      <c r="DC79">
        <f t="shared" si="25"/>
        <v>0</v>
      </c>
      <c r="DD79" t="s">
        <v>3</v>
      </c>
      <c r="DE79" t="s">
        <v>3</v>
      </c>
      <c r="DF79">
        <f t="shared" si="35"/>
        <v>0</v>
      </c>
      <c r="DG79">
        <f t="shared" si="33"/>
        <v>0</v>
      </c>
      <c r="DH79">
        <f t="shared" si="28"/>
        <v>0</v>
      </c>
      <c r="DI79">
        <f t="shared" si="29"/>
        <v>0</v>
      </c>
      <c r="DJ79">
        <f>DI79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ROW(Source!A71)</f>
        <v>71</v>
      </c>
      <c r="B80">
        <v>61635504</v>
      </c>
      <c r="C80">
        <v>61636032</v>
      </c>
      <c r="D80">
        <v>60465258</v>
      </c>
      <c r="E80">
        <v>1</v>
      </c>
      <c r="F80">
        <v>1</v>
      </c>
      <c r="G80">
        <v>1</v>
      </c>
      <c r="H80">
        <v>2</v>
      </c>
      <c r="I80" t="s">
        <v>325</v>
      </c>
      <c r="J80" t="s">
        <v>326</v>
      </c>
      <c r="K80" t="s">
        <v>327</v>
      </c>
      <c r="L80">
        <v>1368</v>
      </c>
      <c r="N80">
        <v>1011</v>
      </c>
      <c r="O80" t="s">
        <v>194</v>
      </c>
      <c r="P80" t="s">
        <v>194</v>
      </c>
      <c r="Q80">
        <v>1</v>
      </c>
      <c r="W80">
        <v>0</v>
      </c>
      <c r="X80">
        <v>-1112845829</v>
      </c>
      <c r="Y80">
        <f t="shared" si="23"/>
        <v>0.01</v>
      </c>
      <c r="AA80">
        <v>0</v>
      </c>
      <c r="AB80">
        <v>1459.82</v>
      </c>
      <c r="AC80">
        <v>584.69000000000005</v>
      </c>
      <c r="AD80">
        <v>0</v>
      </c>
      <c r="AE80">
        <v>0</v>
      </c>
      <c r="AF80">
        <v>1459.82</v>
      </c>
      <c r="AG80">
        <v>584.69000000000005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0.01</v>
      </c>
      <c r="AU80" t="s">
        <v>3</v>
      </c>
      <c r="AV80">
        <v>1</v>
      </c>
      <c r="AW80">
        <v>2</v>
      </c>
      <c r="AX80">
        <v>61636501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14.5982</v>
      </c>
      <c r="BL80">
        <v>5.8469000000000007</v>
      </c>
      <c r="BM80">
        <v>0</v>
      </c>
      <c r="BN80">
        <v>0</v>
      </c>
      <c r="BO80">
        <v>0.01</v>
      </c>
      <c r="BP80">
        <v>1</v>
      </c>
      <c r="BQ80">
        <v>0</v>
      </c>
      <c r="BR80">
        <v>14.5982</v>
      </c>
      <c r="BS80">
        <v>5.8469000000000007</v>
      </c>
      <c r="BT80">
        <v>0</v>
      </c>
      <c r="BU80">
        <v>0</v>
      </c>
      <c r="BV80">
        <v>0.01</v>
      </c>
      <c r="BW80">
        <v>1</v>
      </c>
      <c r="CV80">
        <v>0</v>
      </c>
      <c r="CW80">
        <f>ROUND(Y80*Source!I71*DO80,7)</f>
        <v>0.08</v>
      </c>
      <c r="CX80">
        <f>ROUND(Y80*Source!I71,7)</f>
        <v>0.08</v>
      </c>
      <c r="CY80">
        <f>AB80</f>
        <v>1459.82</v>
      </c>
      <c r="CZ80">
        <f>AF80</f>
        <v>1459.82</v>
      </c>
      <c r="DA80">
        <f>AJ80</f>
        <v>1</v>
      </c>
      <c r="DB80">
        <f t="shared" si="24"/>
        <v>14.6</v>
      </c>
      <c r="DC80">
        <f t="shared" si="25"/>
        <v>5.85</v>
      </c>
      <c r="DD80" t="s">
        <v>3</v>
      </c>
      <c r="DE80" t="s">
        <v>3</v>
      </c>
      <c r="DF80">
        <f t="shared" si="35"/>
        <v>0</v>
      </c>
      <c r="DG80">
        <f t="shared" si="33"/>
        <v>116.79</v>
      </c>
      <c r="DH80">
        <f t="shared" si="28"/>
        <v>46.78</v>
      </c>
      <c r="DI80">
        <f t="shared" si="29"/>
        <v>0</v>
      </c>
      <c r="DJ80">
        <f>DG80+DH80</f>
        <v>163.57</v>
      </c>
      <c r="DK80">
        <v>1</v>
      </c>
      <c r="DL80" t="s">
        <v>328</v>
      </c>
      <c r="DM80">
        <v>6</v>
      </c>
      <c r="DN80" t="s">
        <v>324</v>
      </c>
      <c r="DO80">
        <v>1</v>
      </c>
    </row>
    <row r="81" spans="1:119" x14ac:dyDescent="0.2">
      <c r="A81">
        <f>ROW(Source!A71)</f>
        <v>71</v>
      </c>
      <c r="B81">
        <v>61635504</v>
      </c>
      <c r="C81">
        <v>61636032</v>
      </c>
      <c r="D81">
        <v>60465471</v>
      </c>
      <c r="E81">
        <v>1</v>
      </c>
      <c r="F81">
        <v>1</v>
      </c>
      <c r="G81">
        <v>1</v>
      </c>
      <c r="H81">
        <v>2</v>
      </c>
      <c r="I81" t="s">
        <v>414</v>
      </c>
      <c r="J81" t="s">
        <v>415</v>
      </c>
      <c r="K81" t="s">
        <v>416</v>
      </c>
      <c r="L81">
        <v>1368</v>
      </c>
      <c r="N81">
        <v>1011</v>
      </c>
      <c r="O81" t="s">
        <v>194</v>
      </c>
      <c r="P81" t="s">
        <v>194</v>
      </c>
      <c r="Q81">
        <v>1</v>
      </c>
      <c r="W81">
        <v>0</v>
      </c>
      <c r="X81">
        <v>1594550154</v>
      </c>
      <c r="Y81">
        <f t="shared" si="23"/>
        <v>3.71</v>
      </c>
      <c r="AA81">
        <v>0</v>
      </c>
      <c r="AB81">
        <v>1928.77</v>
      </c>
      <c r="AC81">
        <v>584.69000000000005</v>
      </c>
      <c r="AD81">
        <v>0</v>
      </c>
      <c r="AE81">
        <v>0</v>
      </c>
      <c r="AF81">
        <v>1472.34</v>
      </c>
      <c r="AG81">
        <v>584.69000000000005</v>
      </c>
      <c r="AH81">
        <v>0</v>
      </c>
      <c r="AI81">
        <v>1</v>
      </c>
      <c r="AJ81">
        <v>1.31</v>
      </c>
      <c r="AK81">
        <v>1</v>
      </c>
      <c r="AL81">
        <v>1</v>
      </c>
      <c r="AM81">
        <v>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3</v>
      </c>
      <c r="AT81">
        <v>3.71</v>
      </c>
      <c r="AU81" t="s">
        <v>3</v>
      </c>
      <c r="AV81">
        <v>1</v>
      </c>
      <c r="AW81">
        <v>2</v>
      </c>
      <c r="AX81">
        <v>61636502</v>
      </c>
      <c r="AY81">
        <v>1</v>
      </c>
      <c r="AZ81">
        <v>0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5462.3813999999993</v>
      </c>
      <c r="BL81">
        <v>2169.1999000000001</v>
      </c>
      <c r="BM81">
        <v>0</v>
      </c>
      <c r="BN81">
        <v>0</v>
      </c>
      <c r="BO81">
        <v>3.71</v>
      </c>
      <c r="BP81">
        <v>1</v>
      </c>
      <c r="BQ81">
        <v>0</v>
      </c>
      <c r="BR81">
        <v>5462.3813999999993</v>
      </c>
      <c r="BS81">
        <v>2169.1999000000001</v>
      </c>
      <c r="BT81">
        <v>0</v>
      </c>
      <c r="BU81">
        <v>0</v>
      </c>
      <c r="BV81">
        <v>3.71</v>
      </c>
      <c r="BW81">
        <v>1</v>
      </c>
      <c r="CV81">
        <v>0</v>
      </c>
      <c r="CW81">
        <f>ROUND(Y81*Source!I71*DO81,7)</f>
        <v>29.68</v>
      </c>
      <c r="CX81">
        <f>ROUND(Y81*Source!I71,7)</f>
        <v>29.68</v>
      </c>
      <c r="CY81">
        <f>AB81</f>
        <v>1928.77</v>
      </c>
      <c r="CZ81">
        <f>AF81</f>
        <v>1472.34</v>
      </c>
      <c r="DA81">
        <f>AJ81</f>
        <v>1.31</v>
      </c>
      <c r="DB81">
        <f t="shared" si="24"/>
        <v>5462.38</v>
      </c>
      <c r="DC81">
        <f t="shared" si="25"/>
        <v>2169.1999999999998</v>
      </c>
      <c r="DD81" t="s">
        <v>3</v>
      </c>
      <c r="DE81" t="s">
        <v>3</v>
      </c>
      <c r="DF81">
        <f t="shared" si="35"/>
        <v>0</v>
      </c>
      <c r="DG81">
        <f>ROUND(ROUND(AF81*AJ81,2)*CX81,2)</f>
        <v>57245.89</v>
      </c>
      <c r="DH81">
        <f t="shared" si="28"/>
        <v>17353.599999999999</v>
      </c>
      <c r="DI81">
        <f t="shared" si="29"/>
        <v>0</v>
      </c>
      <c r="DJ81">
        <f>DG81+DH81</f>
        <v>74599.489999999991</v>
      </c>
      <c r="DK81">
        <v>1</v>
      </c>
      <c r="DL81" t="s">
        <v>328</v>
      </c>
      <c r="DM81">
        <v>6</v>
      </c>
      <c r="DN81" t="s">
        <v>324</v>
      </c>
      <c r="DO81">
        <v>1</v>
      </c>
    </row>
    <row r="82" spans="1:119" x14ac:dyDescent="0.2">
      <c r="A82">
        <f>ROW(Source!A71)</f>
        <v>71</v>
      </c>
      <c r="B82">
        <v>61635504</v>
      </c>
      <c r="C82">
        <v>61636032</v>
      </c>
      <c r="D82">
        <v>60466143</v>
      </c>
      <c r="E82">
        <v>1</v>
      </c>
      <c r="F82">
        <v>1</v>
      </c>
      <c r="G82">
        <v>1</v>
      </c>
      <c r="H82">
        <v>2</v>
      </c>
      <c r="I82" t="s">
        <v>336</v>
      </c>
      <c r="J82" t="s">
        <v>337</v>
      </c>
      <c r="K82" t="s">
        <v>338</v>
      </c>
      <c r="L82">
        <v>1368</v>
      </c>
      <c r="N82">
        <v>1011</v>
      </c>
      <c r="O82" t="s">
        <v>194</v>
      </c>
      <c r="P82" t="s">
        <v>194</v>
      </c>
      <c r="Q82">
        <v>1</v>
      </c>
      <c r="W82">
        <v>0</v>
      </c>
      <c r="X82">
        <v>-1006353707</v>
      </c>
      <c r="Y82">
        <f t="shared" si="23"/>
        <v>0.01</v>
      </c>
      <c r="AA82">
        <v>0</v>
      </c>
      <c r="AB82">
        <v>568.72</v>
      </c>
      <c r="AC82">
        <v>435.27</v>
      </c>
      <c r="AD82">
        <v>0</v>
      </c>
      <c r="AE82">
        <v>0</v>
      </c>
      <c r="AF82">
        <v>477.92</v>
      </c>
      <c r="AG82">
        <v>435.27</v>
      </c>
      <c r="AH82">
        <v>0</v>
      </c>
      <c r="AI82">
        <v>1</v>
      </c>
      <c r="AJ82">
        <v>1.19</v>
      </c>
      <c r="AK82">
        <v>1</v>
      </c>
      <c r="AL82">
        <v>1</v>
      </c>
      <c r="AM82">
        <v>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0.01</v>
      </c>
      <c r="AU82" t="s">
        <v>3</v>
      </c>
      <c r="AV82">
        <v>1</v>
      </c>
      <c r="AW82">
        <v>2</v>
      </c>
      <c r="AX82">
        <v>61636503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4.7792000000000003</v>
      </c>
      <c r="BL82">
        <v>4.3526999999999996</v>
      </c>
      <c r="BM82">
        <v>0</v>
      </c>
      <c r="BN82">
        <v>0</v>
      </c>
      <c r="BO82">
        <v>0.01</v>
      </c>
      <c r="BP82">
        <v>1</v>
      </c>
      <c r="BQ82">
        <v>0</v>
      </c>
      <c r="BR82">
        <v>4.7792000000000003</v>
      </c>
      <c r="BS82">
        <v>4.3526999999999996</v>
      </c>
      <c r="BT82">
        <v>0</v>
      </c>
      <c r="BU82">
        <v>0</v>
      </c>
      <c r="BV82">
        <v>0.01</v>
      </c>
      <c r="BW82">
        <v>1</v>
      </c>
      <c r="CV82">
        <v>0</v>
      </c>
      <c r="CW82">
        <f>ROUND(Y82*Source!I71*DO82,7)</f>
        <v>0.08</v>
      </c>
      <c r="CX82">
        <f>ROUND(Y82*Source!I71,7)</f>
        <v>0.08</v>
      </c>
      <c r="CY82">
        <f>AB82</f>
        <v>568.72</v>
      </c>
      <c r="CZ82">
        <f>AF82</f>
        <v>477.92</v>
      </c>
      <c r="DA82">
        <f>AJ82</f>
        <v>1.19</v>
      </c>
      <c r="DB82">
        <f t="shared" si="24"/>
        <v>4.78</v>
      </c>
      <c r="DC82">
        <f t="shared" si="25"/>
        <v>4.3499999999999996</v>
      </c>
      <c r="DD82" t="s">
        <v>3</v>
      </c>
      <c r="DE82" t="s">
        <v>3</v>
      </c>
      <c r="DF82">
        <f t="shared" si="35"/>
        <v>0</v>
      </c>
      <c r="DG82">
        <f>ROUND(ROUND(AF82*AJ82,2)*CX82,2)</f>
        <v>45.5</v>
      </c>
      <c r="DH82">
        <f t="shared" si="28"/>
        <v>34.82</v>
      </c>
      <c r="DI82">
        <f t="shared" si="29"/>
        <v>0</v>
      </c>
      <c r="DJ82">
        <f>DG82+DH82</f>
        <v>80.319999999999993</v>
      </c>
      <c r="DK82">
        <v>1</v>
      </c>
      <c r="DL82" t="s">
        <v>335</v>
      </c>
      <c r="DM82">
        <v>4</v>
      </c>
      <c r="DN82" t="s">
        <v>324</v>
      </c>
      <c r="DO82">
        <v>1</v>
      </c>
    </row>
    <row r="83" spans="1:119" x14ac:dyDescent="0.2">
      <c r="A83">
        <f>ROW(Source!A71)</f>
        <v>71</v>
      </c>
      <c r="B83">
        <v>61635504</v>
      </c>
      <c r="C83">
        <v>61636032</v>
      </c>
      <c r="D83">
        <v>60531884</v>
      </c>
      <c r="E83">
        <v>1</v>
      </c>
      <c r="F83">
        <v>1</v>
      </c>
      <c r="G83">
        <v>1</v>
      </c>
      <c r="H83">
        <v>3</v>
      </c>
      <c r="I83" t="s">
        <v>417</v>
      </c>
      <c r="J83" t="s">
        <v>418</v>
      </c>
      <c r="K83" t="s">
        <v>419</v>
      </c>
      <c r="L83">
        <v>1301</v>
      </c>
      <c r="N83">
        <v>1003</v>
      </c>
      <c r="O83" t="s">
        <v>383</v>
      </c>
      <c r="P83" t="s">
        <v>383</v>
      </c>
      <c r="Q83">
        <v>1</v>
      </c>
      <c r="W83">
        <v>0</v>
      </c>
      <c r="X83">
        <v>-2062665317</v>
      </c>
      <c r="Y83">
        <f t="shared" si="23"/>
        <v>29.09</v>
      </c>
      <c r="AA83">
        <v>0.73</v>
      </c>
      <c r="AB83">
        <v>0</v>
      </c>
      <c r="AC83">
        <v>0</v>
      </c>
      <c r="AD83">
        <v>0</v>
      </c>
      <c r="AE83">
        <v>0.5</v>
      </c>
      <c r="AF83">
        <v>0</v>
      </c>
      <c r="AG83">
        <v>0</v>
      </c>
      <c r="AH83">
        <v>0</v>
      </c>
      <c r="AI83">
        <v>1.45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29.09</v>
      </c>
      <c r="AU83" t="s">
        <v>3</v>
      </c>
      <c r="AV83">
        <v>0</v>
      </c>
      <c r="AW83">
        <v>2</v>
      </c>
      <c r="AX83">
        <v>61636504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14.545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1</v>
      </c>
      <c r="BQ83">
        <v>14.545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1</v>
      </c>
      <c r="CV83">
        <v>0</v>
      </c>
      <c r="CW83">
        <v>0</v>
      </c>
      <c r="CX83">
        <f>ROUND(Y83*Source!I71,7)</f>
        <v>232.72</v>
      </c>
      <c r="CY83">
        <f t="shared" ref="CY83:CY88" si="36">AA83</f>
        <v>0.73</v>
      </c>
      <c r="CZ83">
        <f t="shared" ref="CZ83:CZ88" si="37">AE83</f>
        <v>0.5</v>
      </c>
      <c r="DA83">
        <f t="shared" ref="DA83:DA88" si="38">AI83</f>
        <v>1.45</v>
      </c>
      <c r="DB83">
        <f t="shared" si="24"/>
        <v>14.55</v>
      </c>
      <c r="DC83">
        <f t="shared" si="25"/>
        <v>0</v>
      </c>
      <c r="DD83" t="s">
        <v>3</v>
      </c>
      <c r="DE83" t="s">
        <v>3</v>
      </c>
      <c r="DF83">
        <f>ROUND(ROUND(AE83*AI83,2)*CX83,2)</f>
        <v>169.89</v>
      </c>
      <c r="DG83">
        <f t="shared" ref="DG83:DG91" si="39">ROUND(ROUND(AF83,2)*CX83,2)</f>
        <v>0</v>
      </c>
      <c r="DH83">
        <f t="shared" si="28"/>
        <v>0</v>
      </c>
      <c r="DI83">
        <f t="shared" si="29"/>
        <v>0</v>
      </c>
      <c r="DJ83">
        <f t="shared" ref="DJ83:DJ88" si="40">DF83</f>
        <v>169.89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ROW(Source!A71)</f>
        <v>71</v>
      </c>
      <c r="B84">
        <v>61635504</v>
      </c>
      <c r="C84">
        <v>61636032</v>
      </c>
      <c r="D84">
        <v>60532964</v>
      </c>
      <c r="E84">
        <v>1</v>
      </c>
      <c r="F84">
        <v>1</v>
      </c>
      <c r="G84">
        <v>1</v>
      </c>
      <c r="H84">
        <v>3</v>
      </c>
      <c r="I84" t="s">
        <v>399</v>
      </c>
      <c r="J84" t="s">
        <v>400</v>
      </c>
      <c r="K84" t="s">
        <v>401</v>
      </c>
      <c r="L84">
        <v>1346</v>
      </c>
      <c r="N84">
        <v>1009</v>
      </c>
      <c r="O84" t="s">
        <v>176</v>
      </c>
      <c r="P84" t="s">
        <v>176</v>
      </c>
      <c r="Q84">
        <v>1</v>
      </c>
      <c r="W84">
        <v>0</v>
      </c>
      <c r="X84">
        <v>912181421</v>
      </c>
      <c r="Y84">
        <f t="shared" si="23"/>
        <v>0.02</v>
      </c>
      <c r="AA84">
        <v>194.17</v>
      </c>
      <c r="AB84">
        <v>0</v>
      </c>
      <c r="AC84">
        <v>0</v>
      </c>
      <c r="AD84">
        <v>0</v>
      </c>
      <c r="AE84">
        <v>174.93</v>
      </c>
      <c r="AF84">
        <v>0</v>
      </c>
      <c r="AG84">
        <v>0</v>
      </c>
      <c r="AH84">
        <v>0</v>
      </c>
      <c r="AI84">
        <v>1.1100000000000001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0.02</v>
      </c>
      <c r="AU84" t="s">
        <v>3</v>
      </c>
      <c r="AV84">
        <v>0</v>
      </c>
      <c r="AW84">
        <v>2</v>
      </c>
      <c r="AX84">
        <v>61636505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3.4986000000000002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3.4986000000000002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ROUND(Y84*Source!I71,7)</f>
        <v>0.16</v>
      </c>
      <c r="CY84">
        <f t="shared" si="36"/>
        <v>194.17</v>
      </c>
      <c r="CZ84">
        <f t="shared" si="37"/>
        <v>174.93</v>
      </c>
      <c r="DA84">
        <f t="shared" si="38"/>
        <v>1.1100000000000001</v>
      </c>
      <c r="DB84">
        <f t="shared" si="24"/>
        <v>3.5</v>
      </c>
      <c r="DC84">
        <f t="shared" si="25"/>
        <v>0</v>
      </c>
      <c r="DD84" t="s">
        <v>3</v>
      </c>
      <c r="DE84" t="s">
        <v>3</v>
      </c>
      <c r="DF84">
        <f>ROUND(ROUND(AE84*AI84,2)*CX84,2)</f>
        <v>31.07</v>
      </c>
      <c r="DG84">
        <f t="shared" si="39"/>
        <v>0</v>
      </c>
      <c r="DH84">
        <f t="shared" si="28"/>
        <v>0</v>
      </c>
      <c r="DI84">
        <f t="shared" si="29"/>
        <v>0</v>
      </c>
      <c r="DJ84">
        <f t="shared" si="40"/>
        <v>31.07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ROW(Source!A71)</f>
        <v>71</v>
      </c>
      <c r="B85">
        <v>61635504</v>
      </c>
      <c r="C85">
        <v>61636032</v>
      </c>
      <c r="D85">
        <v>60549173</v>
      </c>
      <c r="E85">
        <v>1</v>
      </c>
      <c r="F85">
        <v>1</v>
      </c>
      <c r="G85">
        <v>1</v>
      </c>
      <c r="H85">
        <v>3</v>
      </c>
      <c r="I85" t="s">
        <v>357</v>
      </c>
      <c r="J85" t="s">
        <v>358</v>
      </c>
      <c r="K85" t="s">
        <v>359</v>
      </c>
      <c r="L85">
        <v>1346</v>
      </c>
      <c r="N85">
        <v>1009</v>
      </c>
      <c r="O85" t="s">
        <v>176</v>
      </c>
      <c r="P85" t="s">
        <v>176</v>
      </c>
      <c r="Q85">
        <v>1</v>
      </c>
      <c r="W85">
        <v>0</v>
      </c>
      <c r="X85">
        <v>801841253</v>
      </c>
      <c r="Y85">
        <f t="shared" si="23"/>
        <v>0.13</v>
      </c>
      <c r="AA85">
        <v>104.64</v>
      </c>
      <c r="AB85">
        <v>0</v>
      </c>
      <c r="AC85">
        <v>0</v>
      </c>
      <c r="AD85">
        <v>0</v>
      </c>
      <c r="AE85">
        <v>79.88</v>
      </c>
      <c r="AF85">
        <v>0</v>
      </c>
      <c r="AG85">
        <v>0</v>
      </c>
      <c r="AH85">
        <v>0</v>
      </c>
      <c r="AI85">
        <v>1.31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0.13</v>
      </c>
      <c r="AU85" t="s">
        <v>3</v>
      </c>
      <c r="AV85">
        <v>0</v>
      </c>
      <c r="AW85">
        <v>2</v>
      </c>
      <c r="AX85">
        <v>61636506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10.384399999999999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10.384399999999999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ROUND(Y85*Source!I71,7)</f>
        <v>1.04</v>
      </c>
      <c r="CY85">
        <f t="shared" si="36"/>
        <v>104.64</v>
      </c>
      <c r="CZ85">
        <f t="shared" si="37"/>
        <v>79.88</v>
      </c>
      <c r="DA85">
        <f t="shared" si="38"/>
        <v>1.31</v>
      </c>
      <c r="DB85">
        <f t="shared" si="24"/>
        <v>10.38</v>
      </c>
      <c r="DC85">
        <f t="shared" si="25"/>
        <v>0</v>
      </c>
      <c r="DD85" t="s">
        <v>3</v>
      </c>
      <c r="DE85" t="s">
        <v>3</v>
      </c>
      <c r="DF85">
        <f>ROUND(ROUND(AE85*AI85,2)*CX85,2)</f>
        <v>108.83</v>
      </c>
      <c r="DG85">
        <f t="shared" si="39"/>
        <v>0</v>
      </c>
      <c r="DH85">
        <f t="shared" si="28"/>
        <v>0</v>
      </c>
      <c r="DI85">
        <f t="shared" si="29"/>
        <v>0</v>
      </c>
      <c r="DJ85">
        <f t="shared" si="40"/>
        <v>108.83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ROW(Source!A71)</f>
        <v>71</v>
      </c>
      <c r="B86">
        <v>61635504</v>
      </c>
      <c r="C86">
        <v>61636032</v>
      </c>
      <c r="D86">
        <v>60549199</v>
      </c>
      <c r="E86">
        <v>1</v>
      </c>
      <c r="F86">
        <v>1</v>
      </c>
      <c r="G86">
        <v>1</v>
      </c>
      <c r="H86">
        <v>3</v>
      </c>
      <c r="I86" t="s">
        <v>420</v>
      </c>
      <c r="J86" t="s">
        <v>421</v>
      </c>
      <c r="K86" t="s">
        <v>422</v>
      </c>
      <c r="L86">
        <v>1348</v>
      </c>
      <c r="N86">
        <v>1009</v>
      </c>
      <c r="O86" t="s">
        <v>356</v>
      </c>
      <c r="P86" t="s">
        <v>356</v>
      </c>
      <c r="Q86">
        <v>1000</v>
      </c>
      <c r="W86">
        <v>0</v>
      </c>
      <c r="X86">
        <v>-404533024</v>
      </c>
      <c r="Y86">
        <f t="shared" ref="Y86:Y117" si="41">AT86</f>
        <v>2.0000000000000002E-5</v>
      </c>
      <c r="AA86">
        <v>83525.119999999995</v>
      </c>
      <c r="AB86">
        <v>0</v>
      </c>
      <c r="AC86">
        <v>0</v>
      </c>
      <c r="AD86">
        <v>0</v>
      </c>
      <c r="AE86">
        <v>82698.14</v>
      </c>
      <c r="AF86">
        <v>0</v>
      </c>
      <c r="AG86">
        <v>0</v>
      </c>
      <c r="AH86">
        <v>0</v>
      </c>
      <c r="AI86">
        <v>1.01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2.0000000000000002E-5</v>
      </c>
      <c r="AU86" t="s">
        <v>3</v>
      </c>
      <c r="AV86">
        <v>0</v>
      </c>
      <c r="AW86">
        <v>2</v>
      </c>
      <c r="AX86">
        <v>61636507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1.6539628000000002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1.6539628000000002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ROUND(Y86*Source!I71,7)</f>
        <v>1.6000000000000001E-4</v>
      </c>
      <c r="CY86">
        <f t="shared" si="36"/>
        <v>83525.119999999995</v>
      </c>
      <c r="CZ86">
        <f t="shared" si="37"/>
        <v>82698.14</v>
      </c>
      <c r="DA86">
        <f t="shared" si="38"/>
        <v>1.01</v>
      </c>
      <c r="DB86">
        <f t="shared" ref="DB86:DB117" si="42">ROUND(ROUND(AT86*CZ86,2),6)</f>
        <v>1.65</v>
      </c>
      <c r="DC86">
        <f t="shared" ref="DC86:DC117" si="43">ROUND(ROUND(AT86*AG86,2),6)</f>
        <v>0</v>
      </c>
      <c r="DD86" t="s">
        <v>3</v>
      </c>
      <c r="DE86" t="s">
        <v>3</v>
      </c>
      <c r="DF86">
        <f>ROUND(ROUND(AE86*AI86,2)*CX86,2)</f>
        <v>13.36</v>
      </c>
      <c r="DG86">
        <f t="shared" si="39"/>
        <v>0</v>
      </c>
      <c r="DH86">
        <f t="shared" si="28"/>
        <v>0</v>
      </c>
      <c r="DI86">
        <f t="shared" si="29"/>
        <v>0</v>
      </c>
      <c r="DJ86">
        <f t="shared" si="40"/>
        <v>13.36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ROW(Source!A71)</f>
        <v>71</v>
      </c>
      <c r="B87">
        <v>61635504</v>
      </c>
      <c r="C87">
        <v>61636032</v>
      </c>
      <c r="D87">
        <v>60556312</v>
      </c>
      <c r="E87">
        <v>1</v>
      </c>
      <c r="F87">
        <v>1</v>
      </c>
      <c r="G87">
        <v>1</v>
      </c>
      <c r="H87">
        <v>3</v>
      </c>
      <c r="I87" t="s">
        <v>423</v>
      </c>
      <c r="J87" t="s">
        <v>424</v>
      </c>
      <c r="K87" t="s">
        <v>425</v>
      </c>
      <c r="L87">
        <v>1407</v>
      </c>
      <c r="N87">
        <v>1013</v>
      </c>
      <c r="O87" t="s">
        <v>393</v>
      </c>
      <c r="P87" t="s">
        <v>393</v>
      </c>
      <c r="Q87">
        <v>1</v>
      </c>
      <c r="W87">
        <v>0</v>
      </c>
      <c r="X87">
        <v>745110541</v>
      </c>
      <c r="Y87">
        <f t="shared" si="41"/>
        <v>8.0000000000000002E-3</v>
      </c>
      <c r="AA87">
        <v>4024.83</v>
      </c>
      <c r="AB87">
        <v>0</v>
      </c>
      <c r="AC87">
        <v>0</v>
      </c>
      <c r="AD87">
        <v>0</v>
      </c>
      <c r="AE87">
        <v>3658.94</v>
      </c>
      <c r="AF87">
        <v>0</v>
      </c>
      <c r="AG87">
        <v>0</v>
      </c>
      <c r="AH87">
        <v>0</v>
      </c>
      <c r="AI87">
        <v>1.1000000000000001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8.0000000000000002E-3</v>
      </c>
      <c r="AU87" t="s">
        <v>3</v>
      </c>
      <c r="AV87">
        <v>0</v>
      </c>
      <c r="AW87">
        <v>2</v>
      </c>
      <c r="AX87">
        <v>61636508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29.271520000000002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29.271520000000002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1</v>
      </c>
      <c r="CV87">
        <v>0</v>
      </c>
      <c r="CW87">
        <v>0</v>
      </c>
      <c r="CX87">
        <f>ROUND(Y87*Source!I71,7)</f>
        <v>6.4000000000000001E-2</v>
      </c>
      <c r="CY87">
        <f t="shared" si="36"/>
        <v>4024.83</v>
      </c>
      <c r="CZ87">
        <f t="shared" si="37"/>
        <v>3658.94</v>
      </c>
      <c r="DA87">
        <f t="shared" si="38"/>
        <v>1.1000000000000001</v>
      </c>
      <c r="DB87">
        <f t="shared" si="42"/>
        <v>29.27</v>
      </c>
      <c r="DC87">
        <f t="shared" si="43"/>
        <v>0</v>
      </c>
      <c r="DD87" t="s">
        <v>3</v>
      </c>
      <c r="DE87" t="s">
        <v>3</v>
      </c>
      <c r="DF87">
        <f>ROUND(ROUND(AE87*AI87,2)*CX87,2)</f>
        <v>257.58999999999997</v>
      </c>
      <c r="DG87">
        <f t="shared" si="39"/>
        <v>0</v>
      </c>
      <c r="DH87">
        <f t="shared" si="28"/>
        <v>0</v>
      </c>
      <c r="DI87">
        <f t="shared" si="29"/>
        <v>0</v>
      </c>
      <c r="DJ87">
        <f t="shared" si="40"/>
        <v>257.58999999999997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ROW(Source!A71)</f>
        <v>71</v>
      </c>
      <c r="B88">
        <v>61635504</v>
      </c>
      <c r="C88">
        <v>61636032</v>
      </c>
      <c r="D88">
        <v>60463688</v>
      </c>
      <c r="E88">
        <v>110</v>
      </c>
      <c r="F88">
        <v>1</v>
      </c>
      <c r="G88">
        <v>1</v>
      </c>
      <c r="H88">
        <v>3</v>
      </c>
      <c r="I88" t="s">
        <v>363</v>
      </c>
      <c r="J88" t="s">
        <v>3</v>
      </c>
      <c r="K88" t="s">
        <v>364</v>
      </c>
      <c r="L88">
        <v>3277935</v>
      </c>
      <c r="N88">
        <v>1013</v>
      </c>
      <c r="O88" t="s">
        <v>365</v>
      </c>
      <c r="P88" t="s">
        <v>365</v>
      </c>
      <c r="Q88">
        <v>1</v>
      </c>
      <c r="W88">
        <v>0</v>
      </c>
      <c r="X88">
        <v>274903907</v>
      </c>
      <c r="Y88">
        <f t="shared" si="41"/>
        <v>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0</v>
      </c>
      <c r="AP88">
        <v>0</v>
      </c>
      <c r="AQ88">
        <v>1</v>
      </c>
      <c r="AR88">
        <v>0</v>
      </c>
      <c r="AS88" t="s">
        <v>3</v>
      </c>
      <c r="AT88">
        <v>2</v>
      </c>
      <c r="AU88" t="s">
        <v>3</v>
      </c>
      <c r="AV88">
        <v>0</v>
      </c>
      <c r="AW88">
        <v>2</v>
      </c>
      <c r="AX88">
        <v>61636509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ROUND(Y88*Source!I71,7)</f>
        <v>16</v>
      </c>
      <c r="CY88">
        <f t="shared" si="36"/>
        <v>0</v>
      </c>
      <c r="CZ88">
        <f t="shared" si="37"/>
        <v>0</v>
      </c>
      <c r="DA88">
        <f t="shared" si="38"/>
        <v>1</v>
      </c>
      <c r="DB88">
        <f t="shared" si="42"/>
        <v>0</v>
      </c>
      <c r="DC88">
        <f t="shared" si="43"/>
        <v>0</v>
      </c>
      <c r="DD88" t="s">
        <v>3</v>
      </c>
      <c r="DE88" t="s">
        <v>3</v>
      </c>
      <c r="DF88">
        <f t="shared" ref="DF88:DF94" si="44">ROUND(ROUND(AE88,2)*CX88,2)</f>
        <v>0</v>
      </c>
      <c r="DG88">
        <f t="shared" si="39"/>
        <v>0</v>
      </c>
      <c r="DH88">
        <f t="shared" si="28"/>
        <v>0</v>
      </c>
      <c r="DI88">
        <f t="shared" si="29"/>
        <v>0</v>
      </c>
      <c r="DJ88">
        <f t="shared" si="40"/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ROW(Source!A72)</f>
        <v>72</v>
      </c>
      <c r="B89">
        <v>61635504</v>
      </c>
      <c r="C89">
        <v>61636055</v>
      </c>
      <c r="D89">
        <v>37080781</v>
      </c>
      <c r="E89">
        <v>108</v>
      </c>
      <c r="F89">
        <v>1</v>
      </c>
      <c r="G89">
        <v>1</v>
      </c>
      <c r="H89">
        <v>1</v>
      </c>
      <c r="I89" t="s">
        <v>426</v>
      </c>
      <c r="J89" t="s">
        <v>3</v>
      </c>
      <c r="K89" t="s">
        <v>427</v>
      </c>
      <c r="L89">
        <v>1191</v>
      </c>
      <c r="N89">
        <v>1013</v>
      </c>
      <c r="O89" t="s">
        <v>324</v>
      </c>
      <c r="P89" t="s">
        <v>324</v>
      </c>
      <c r="Q89">
        <v>1</v>
      </c>
      <c r="W89">
        <v>0</v>
      </c>
      <c r="X89">
        <v>-1936699058</v>
      </c>
      <c r="Y89">
        <f t="shared" si="41"/>
        <v>70</v>
      </c>
      <c r="AA89">
        <v>0</v>
      </c>
      <c r="AB89">
        <v>0</v>
      </c>
      <c r="AC89">
        <v>0</v>
      </c>
      <c r="AD89">
        <v>448.27</v>
      </c>
      <c r="AE89">
        <v>0</v>
      </c>
      <c r="AF89">
        <v>0</v>
      </c>
      <c r="AG89">
        <v>0</v>
      </c>
      <c r="AH89">
        <v>448.27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0</v>
      </c>
      <c r="AQ89">
        <v>1</v>
      </c>
      <c r="AR89">
        <v>0</v>
      </c>
      <c r="AS89" t="s">
        <v>3</v>
      </c>
      <c r="AT89">
        <v>70</v>
      </c>
      <c r="AU89" t="s">
        <v>3</v>
      </c>
      <c r="AV89">
        <v>1</v>
      </c>
      <c r="AW89">
        <v>2</v>
      </c>
      <c r="AX89">
        <v>61636071</v>
      </c>
      <c r="AY89">
        <v>1</v>
      </c>
      <c r="AZ89">
        <v>0</v>
      </c>
      <c r="BA89">
        <v>89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31378.899999999998</v>
      </c>
      <c r="BN89">
        <v>70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31378.899999999998</v>
      </c>
      <c r="BU89">
        <v>70</v>
      </c>
      <c r="BV89">
        <v>0</v>
      </c>
      <c r="BW89">
        <v>1</v>
      </c>
      <c r="CU89">
        <f>ROUND(AT89*Source!I72*AH89*AL89,2)</f>
        <v>0</v>
      </c>
      <c r="CV89">
        <f>ROUND(Y89*Source!I72,7)</f>
        <v>0</v>
      </c>
      <c r="CW89">
        <v>0</v>
      </c>
      <c r="CX89">
        <f>ROUND(Y89*Source!I72,7)</f>
        <v>0</v>
      </c>
      <c r="CY89">
        <f>AD89</f>
        <v>448.27</v>
      </c>
      <c r="CZ89">
        <f>AH89</f>
        <v>448.27</v>
      </c>
      <c r="DA89">
        <f>AL89</f>
        <v>1</v>
      </c>
      <c r="DB89">
        <f t="shared" si="42"/>
        <v>31378.9</v>
      </c>
      <c r="DC89">
        <f t="shared" si="43"/>
        <v>0</v>
      </c>
      <c r="DD89" t="s">
        <v>3</v>
      </c>
      <c r="DE89" t="s">
        <v>3</v>
      </c>
      <c r="DF89">
        <f t="shared" si="44"/>
        <v>0</v>
      </c>
      <c r="DG89">
        <f t="shared" si="39"/>
        <v>0</v>
      </c>
      <c r="DH89">
        <f t="shared" si="28"/>
        <v>0</v>
      </c>
      <c r="DI89">
        <f t="shared" si="29"/>
        <v>0</v>
      </c>
      <c r="DJ89">
        <f>DI89</f>
        <v>0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ROW(Source!A72)</f>
        <v>72</v>
      </c>
      <c r="B90">
        <v>61635504</v>
      </c>
      <c r="C90">
        <v>61636055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322</v>
      </c>
      <c r="J90" t="s">
        <v>3</v>
      </c>
      <c r="K90" t="s">
        <v>323</v>
      </c>
      <c r="L90">
        <v>1191</v>
      </c>
      <c r="N90">
        <v>1013</v>
      </c>
      <c r="O90" t="s">
        <v>324</v>
      </c>
      <c r="P90" t="s">
        <v>324</v>
      </c>
      <c r="Q90">
        <v>1</v>
      </c>
      <c r="W90">
        <v>0</v>
      </c>
      <c r="X90">
        <v>-1417349443</v>
      </c>
      <c r="Y90">
        <f t="shared" si="41"/>
        <v>0.08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0</v>
      </c>
      <c r="AQ90">
        <v>1</v>
      </c>
      <c r="AR90">
        <v>0</v>
      </c>
      <c r="AS90" t="s">
        <v>3</v>
      </c>
      <c r="AT90">
        <v>0.08</v>
      </c>
      <c r="AU90" t="s">
        <v>3</v>
      </c>
      <c r="AV90">
        <v>2</v>
      </c>
      <c r="AW90">
        <v>2</v>
      </c>
      <c r="AX90">
        <v>61636072</v>
      </c>
      <c r="AY90">
        <v>1</v>
      </c>
      <c r="AZ90">
        <v>0</v>
      </c>
      <c r="BA90">
        <v>90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ROUND(Y90*Source!I72,7)</f>
        <v>0</v>
      </c>
      <c r="CY90">
        <f>AD90</f>
        <v>0</v>
      </c>
      <c r="CZ90">
        <f>AH90</f>
        <v>0</v>
      </c>
      <c r="DA90">
        <f>AL90</f>
        <v>1</v>
      </c>
      <c r="DB90">
        <f t="shared" si="42"/>
        <v>0</v>
      </c>
      <c r="DC90">
        <f t="shared" si="43"/>
        <v>0</v>
      </c>
      <c r="DD90" t="s">
        <v>3</v>
      </c>
      <c r="DE90" t="s">
        <v>3</v>
      </c>
      <c r="DF90">
        <f t="shared" si="44"/>
        <v>0</v>
      </c>
      <c r="DG90">
        <f t="shared" si="39"/>
        <v>0</v>
      </c>
      <c r="DH90">
        <f t="shared" si="28"/>
        <v>0</v>
      </c>
      <c r="DI90">
        <f t="shared" si="29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ROW(Source!A72)</f>
        <v>72</v>
      </c>
      <c r="B91">
        <v>61635504</v>
      </c>
      <c r="C91">
        <v>61636055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325</v>
      </c>
      <c r="J91" t="s">
        <v>326</v>
      </c>
      <c r="K91" t="s">
        <v>327</v>
      </c>
      <c r="L91">
        <v>1368</v>
      </c>
      <c r="N91">
        <v>1011</v>
      </c>
      <c r="O91" t="s">
        <v>194</v>
      </c>
      <c r="P91" t="s">
        <v>194</v>
      </c>
      <c r="Q91">
        <v>1</v>
      </c>
      <c r="W91">
        <v>0</v>
      </c>
      <c r="X91">
        <v>-848025172</v>
      </c>
      <c r="Y91">
        <f t="shared" si="41"/>
        <v>0.04</v>
      </c>
      <c r="AA91">
        <v>0</v>
      </c>
      <c r="AB91">
        <v>1459.82</v>
      </c>
      <c r="AC91">
        <v>584.69000000000005</v>
      </c>
      <c r="AD91">
        <v>0</v>
      </c>
      <c r="AE91">
        <v>0</v>
      </c>
      <c r="AF91">
        <v>1459.82</v>
      </c>
      <c r="AG91">
        <v>584.69000000000005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0</v>
      </c>
      <c r="AQ91">
        <v>1</v>
      </c>
      <c r="AR91">
        <v>0</v>
      </c>
      <c r="AS91" t="s">
        <v>3</v>
      </c>
      <c r="AT91">
        <v>0.04</v>
      </c>
      <c r="AU91" t="s">
        <v>3</v>
      </c>
      <c r="AV91">
        <v>1</v>
      </c>
      <c r="AW91">
        <v>2</v>
      </c>
      <c r="AX91">
        <v>61636073</v>
      </c>
      <c r="AY91">
        <v>1</v>
      </c>
      <c r="AZ91">
        <v>0</v>
      </c>
      <c r="BA91">
        <v>91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58.392800000000001</v>
      </c>
      <c r="BL91">
        <v>23.387600000000003</v>
      </c>
      <c r="BM91">
        <v>0</v>
      </c>
      <c r="BN91">
        <v>0</v>
      </c>
      <c r="BO91">
        <v>0.04</v>
      </c>
      <c r="BP91">
        <v>1</v>
      </c>
      <c r="BQ91">
        <v>0</v>
      </c>
      <c r="BR91">
        <v>58.392800000000001</v>
      </c>
      <c r="BS91">
        <v>23.387600000000003</v>
      </c>
      <c r="BT91">
        <v>0</v>
      </c>
      <c r="BU91">
        <v>0</v>
      </c>
      <c r="BV91">
        <v>0.04</v>
      </c>
      <c r="BW91">
        <v>1</v>
      </c>
      <c r="CV91">
        <v>0</v>
      </c>
      <c r="CW91">
        <f>ROUND(Y91*Source!I72*DO91,7)</f>
        <v>0</v>
      </c>
      <c r="CX91">
        <f>ROUND(Y91*Source!I72,7)</f>
        <v>0</v>
      </c>
      <c r="CY91">
        <f>AB91</f>
        <v>1459.82</v>
      </c>
      <c r="CZ91">
        <f>AF91</f>
        <v>1459.82</v>
      </c>
      <c r="DA91">
        <f>AJ91</f>
        <v>1</v>
      </c>
      <c r="DB91">
        <f t="shared" si="42"/>
        <v>58.39</v>
      </c>
      <c r="DC91">
        <f t="shared" si="43"/>
        <v>23.39</v>
      </c>
      <c r="DD91" t="s">
        <v>3</v>
      </c>
      <c r="DE91" t="s">
        <v>3</v>
      </c>
      <c r="DF91">
        <f t="shared" si="44"/>
        <v>0</v>
      </c>
      <c r="DG91">
        <f t="shared" si="39"/>
        <v>0</v>
      </c>
      <c r="DH91">
        <f t="shared" si="28"/>
        <v>0</v>
      </c>
      <c r="DI91">
        <f t="shared" si="29"/>
        <v>0</v>
      </c>
      <c r="DJ91">
        <f>DG91+DH91</f>
        <v>0</v>
      </c>
      <c r="DK91">
        <v>1</v>
      </c>
      <c r="DL91" t="s">
        <v>328</v>
      </c>
      <c r="DM91">
        <v>6</v>
      </c>
      <c r="DN91" t="s">
        <v>324</v>
      </c>
      <c r="DO91">
        <v>1</v>
      </c>
    </row>
    <row r="92" spans="1:119" x14ac:dyDescent="0.2">
      <c r="A92">
        <f>ROW(Source!A72)</f>
        <v>72</v>
      </c>
      <c r="B92">
        <v>61635504</v>
      </c>
      <c r="C92">
        <v>61636055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336</v>
      </c>
      <c r="J92" t="s">
        <v>337</v>
      </c>
      <c r="K92" t="s">
        <v>338</v>
      </c>
      <c r="L92">
        <v>1368</v>
      </c>
      <c r="N92">
        <v>1011</v>
      </c>
      <c r="O92" t="s">
        <v>194</v>
      </c>
      <c r="P92" t="s">
        <v>194</v>
      </c>
      <c r="Q92">
        <v>1</v>
      </c>
      <c r="W92">
        <v>0</v>
      </c>
      <c r="X92">
        <v>1230426758</v>
      </c>
      <c r="Y92">
        <f t="shared" si="41"/>
        <v>0.04</v>
      </c>
      <c r="AA92">
        <v>0</v>
      </c>
      <c r="AB92">
        <v>568.72</v>
      </c>
      <c r="AC92">
        <v>435.27</v>
      </c>
      <c r="AD92">
        <v>0</v>
      </c>
      <c r="AE92">
        <v>0</v>
      </c>
      <c r="AF92">
        <v>477.92</v>
      </c>
      <c r="AG92">
        <v>435.27</v>
      </c>
      <c r="AH92">
        <v>0</v>
      </c>
      <c r="AI92">
        <v>1</v>
      </c>
      <c r="AJ92">
        <v>1.19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0</v>
      </c>
      <c r="AQ92">
        <v>1</v>
      </c>
      <c r="AR92">
        <v>0</v>
      </c>
      <c r="AS92" t="s">
        <v>3</v>
      </c>
      <c r="AT92">
        <v>0.04</v>
      </c>
      <c r="AU92" t="s">
        <v>3</v>
      </c>
      <c r="AV92">
        <v>1</v>
      </c>
      <c r="AW92">
        <v>2</v>
      </c>
      <c r="AX92">
        <v>61636074</v>
      </c>
      <c r="AY92">
        <v>1</v>
      </c>
      <c r="AZ92">
        <v>0</v>
      </c>
      <c r="BA92">
        <v>92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19.116800000000001</v>
      </c>
      <c r="BL92">
        <v>17.410799999999998</v>
      </c>
      <c r="BM92">
        <v>0</v>
      </c>
      <c r="BN92">
        <v>0</v>
      </c>
      <c r="BO92">
        <v>0.04</v>
      </c>
      <c r="BP92">
        <v>1</v>
      </c>
      <c r="BQ92">
        <v>0</v>
      </c>
      <c r="BR92">
        <v>19.116800000000001</v>
      </c>
      <c r="BS92">
        <v>17.410799999999998</v>
      </c>
      <c r="BT92">
        <v>0</v>
      </c>
      <c r="BU92">
        <v>0</v>
      </c>
      <c r="BV92">
        <v>0.04</v>
      </c>
      <c r="BW92">
        <v>1</v>
      </c>
      <c r="CV92">
        <v>0</v>
      </c>
      <c r="CW92">
        <f>ROUND(Y92*Source!I72*DO92,7)</f>
        <v>0</v>
      </c>
      <c r="CX92">
        <f>ROUND(Y92*Source!I72,7)</f>
        <v>0</v>
      </c>
      <c r="CY92">
        <f>AB92</f>
        <v>568.72</v>
      </c>
      <c r="CZ92">
        <f>AF92</f>
        <v>477.92</v>
      </c>
      <c r="DA92">
        <f>AJ92</f>
        <v>1.19</v>
      </c>
      <c r="DB92">
        <f t="shared" si="42"/>
        <v>19.12</v>
      </c>
      <c r="DC92">
        <f t="shared" si="43"/>
        <v>17.41</v>
      </c>
      <c r="DD92" t="s">
        <v>3</v>
      </c>
      <c r="DE92" t="s">
        <v>3</v>
      </c>
      <c r="DF92">
        <f t="shared" si="44"/>
        <v>0</v>
      </c>
      <c r="DG92">
        <f>ROUND(ROUND(AF92*AJ92,2)*CX92,2)</f>
        <v>0</v>
      </c>
      <c r="DH92">
        <f t="shared" si="28"/>
        <v>0</v>
      </c>
      <c r="DI92">
        <f t="shared" si="29"/>
        <v>0</v>
      </c>
      <c r="DJ92">
        <f>DG92+DH92</f>
        <v>0</v>
      </c>
      <c r="DK92">
        <v>1</v>
      </c>
      <c r="DL92" t="s">
        <v>335</v>
      </c>
      <c r="DM92">
        <v>4</v>
      </c>
      <c r="DN92" t="s">
        <v>324</v>
      </c>
      <c r="DO92">
        <v>1</v>
      </c>
    </row>
    <row r="93" spans="1:119" x14ac:dyDescent="0.2">
      <c r="A93">
        <f>ROW(Source!A72)</f>
        <v>72</v>
      </c>
      <c r="B93">
        <v>61635504</v>
      </c>
      <c r="C93">
        <v>61636055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350</v>
      </c>
      <c r="J93" t="s">
        <v>351</v>
      </c>
      <c r="K93" t="s">
        <v>352</v>
      </c>
      <c r="L93">
        <v>1368</v>
      </c>
      <c r="N93">
        <v>1011</v>
      </c>
      <c r="O93" t="s">
        <v>194</v>
      </c>
      <c r="P93" t="s">
        <v>194</v>
      </c>
      <c r="Q93">
        <v>1</v>
      </c>
      <c r="W93">
        <v>0</v>
      </c>
      <c r="X93">
        <v>1280601743</v>
      </c>
      <c r="Y93">
        <f t="shared" si="41"/>
        <v>6.83</v>
      </c>
      <c r="AA93">
        <v>0</v>
      </c>
      <c r="AB93">
        <v>25.86</v>
      </c>
      <c r="AC93">
        <v>0</v>
      </c>
      <c r="AD93">
        <v>0</v>
      </c>
      <c r="AE93">
        <v>0</v>
      </c>
      <c r="AF93">
        <v>25.86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0</v>
      </c>
      <c r="AQ93">
        <v>1</v>
      </c>
      <c r="AR93">
        <v>0</v>
      </c>
      <c r="AS93" t="s">
        <v>3</v>
      </c>
      <c r="AT93">
        <v>6.83</v>
      </c>
      <c r="AU93" t="s">
        <v>3</v>
      </c>
      <c r="AV93">
        <v>1</v>
      </c>
      <c r="AW93">
        <v>2</v>
      </c>
      <c r="AX93">
        <v>61636075</v>
      </c>
      <c r="AY93">
        <v>1</v>
      </c>
      <c r="AZ93">
        <v>0</v>
      </c>
      <c r="BA93">
        <v>93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176.62379999999999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0</v>
      </c>
      <c r="BR93">
        <v>176.62379999999999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f>ROUND(Y93*Source!I72*DO93,7)</f>
        <v>0</v>
      </c>
      <c r="CX93">
        <f>ROUND(Y93*Source!I72,7)</f>
        <v>0</v>
      </c>
      <c r="CY93">
        <f>AB93</f>
        <v>25.86</v>
      </c>
      <c r="CZ93">
        <f>AF93</f>
        <v>25.86</v>
      </c>
      <c r="DA93">
        <f>AJ93</f>
        <v>1</v>
      </c>
      <c r="DB93">
        <f t="shared" si="42"/>
        <v>176.62</v>
      </c>
      <c r="DC93">
        <f t="shared" si="43"/>
        <v>0</v>
      </c>
      <c r="DD93" t="s">
        <v>3</v>
      </c>
      <c r="DE93" t="s">
        <v>3</v>
      </c>
      <c r="DF93">
        <f t="shared" si="44"/>
        <v>0</v>
      </c>
      <c r="DG93">
        <f>ROUND(ROUND(AF93,2)*CX93,2)</f>
        <v>0</v>
      </c>
      <c r="DH93">
        <f t="shared" si="28"/>
        <v>0</v>
      </c>
      <c r="DI93">
        <f t="shared" si="29"/>
        <v>0</v>
      </c>
      <c r="DJ93">
        <f>DG93+DH93</f>
        <v>0</v>
      </c>
      <c r="DK93">
        <v>1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ROW(Source!A72)</f>
        <v>72</v>
      </c>
      <c r="B94">
        <v>61635504</v>
      </c>
      <c r="C94">
        <v>61636055</v>
      </c>
      <c r="D94">
        <v>56573896</v>
      </c>
      <c r="E94">
        <v>1</v>
      </c>
      <c r="F94">
        <v>1</v>
      </c>
      <c r="G94">
        <v>1</v>
      </c>
      <c r="H94">
        <v>2</v>
      </c>
      <c r="I94" t="s">
        <v>428</v>
      </c>
      <c r="J94" t="s">
        <v>429</v>
      </c>
      <c r="K94" t="s">
        <v>430</v>
      </c>
      <c r="L94">
        <v>1368</v>
      </c>
      <c r="N94">
        <v>1011</v>
      </c>
      <c r="O94" t="s">
        <v>194</v>
      </c>
      <c r="P94" t="s">
        <v>194</v>
      </c>
      <c r="Q94">
        <v>1</v>
      </c>
      <c r="W94">
        <v>0</v>
      </c>
      <c r="X94">
        <v>-647143963</v>
      </c>
      <c r="Y94">
        <f t="shared" si="41"/>
        <v>5.6</v>
      </c>
      <c r="AA94">
        <v>0</v>
      </c>
      <c r="AB94">
        <v>28.19</v>
      </c>
      <c r="AC94">
        <v>0</v>
      </c>
      <c r="AD94">
        <v>0</v>
      </c>
      <c r="AE94">
        <v>0</v>
      </c>
      <c r="AF94">
        <v>23.89</v>
      </c>
      <c r="AG94">
        <v>0</v>
      </c>
      <c r="AH94">
        <v>0</v>
      </c>
      <c r="AI94">
        <v>1</v>
      </c>
      <c r="AJ94">
        <v>1.18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0</v>
      </c>
      <c r="AQ94">
        <v>1</v>
      </c>
      <c r="AR94">
        <v>0</v>
      </c>
      <c r="AS94" t="s">
        <v>3</v>
      </c>
      <c r="AT94">
        <v>5.6</v>
      </c>
      <c r="AU94" t="s">
        <v>3</v>
      </c>
      <c r="AV94">
        <v>1</v>
      </c>
      <c r="AW94">
        <v>2</v>
      </c>
      <c r="AX94">
        <v>61636076</v>
      </c>
      <c r="AY94">
        <v>1</v>
      </c>
      <c r="AZ94">
        <v>0</v>
      </c>
      <c r="BA94">
        <v>94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133.78399999999999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133.78399999999999</v>
      </c>
      <c r="BS94">
        <v>0</v>
      </c>
      <c r="BT94">
        <v>0</v>
      </c>
      <c r="BU94">
        <v>0</v>
      </c>
      <c r="BV94">
        <v>0</v>
      </c>
      <c r="BW94">
        <v>1</v>
      </c>
      <c r="CV94">
        <v>0</v>
      </c>
      <c r="CW94">
        <f>ROUND(Y94*Source!I72*DO94,7)</f>
        <v>0</v>
      </c>
      <c r="CX94">
        <f>ROUND(Y94*Source!I72,7)</f>
        <v>0</v>
      </c>
      <c r="CY94">
        <f>AB94</f>
        <v>28.19</v>
      </c>
      <c r="CZ94">
        <f>AF94</f>
        <v>23.89</v>
      </c>
      <c r="DA94">
        <f>AJ94</f>
        <v>1.18</v>
      </c>
      <c r="DB94">
        <f t="shared" si="42"/>
        <v>133.78</v>
      </c>
      <c r="DC94">
        <f t="shared" si="43"/>
        <v>0</v>
      </c>
      <c r="DD94" t="s">
        <v>3</v>
      </c>
      <c r="DE94" t="s">
        <v>3</v>
      </c>
      <c r="DF94">
        <f t="shared" si="44"/>
        <v>0</v>
      </c>
      <c r="DG94">
        <f>ROUND(ROUND(AF94*AJ94,2)*CX94,2)</f>
        <v>0</v>
      </c>
      <c r="DH94">
        <f t="shared" si="28"/>
        <v>0</v>
      </c>
      <c r="DI94">
        <f t="shared" si="29"/>
        <v>0</v>
      </c>
      <c r="DJ94">
        <f>DG94+DH94</f>
        <v>0</v>
      </c>
      <c r="DK94">
        <v>1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ROW(Source!A72)</f>
        <v>72</v>
      </c>
      <c r="B95">
        <v>61635504</v>
      </c>
      <c r="C95">
        <v>61636055</v>
      </c>
      <c r="D95">
        <v>56574807</v>
      </c>
      <c r="E95">
        <v>1</v>
      </c>
      <c r="F95">
        <v>1</v>
      </c>
      <c r="G95">
        <v>1</v>
      </c>
      <c r="H95">
        <v>3</v>
      </c>
      <c r="I95" t="s">
        <v>431</v>
      </c>
      <c r="J95" t="s">
        <v>432</v>
      </c>
      <c r="K95" t="s">
        <v>433</v>
      </c>
      <c r="L95">
        <v>1346</v>
      </c>
      <c r="N95">
        <v>1009</v>
      </c>
      <c r="O95" t="s">
        <v>176</v>
      </c>
      <c r="P95" t="s">
        <v>176</v>
      </c>
      <c r="Q95">
        <v>1</v>
      </c>
      <c r="W95">
        <v>0</v>
      </c>
      <c r="X95">
        <v>1380577498</v>
      </c>
      <c r="Y95">
        <f t="shared" si="41"/>
        <v>0.7</v>
      </c>
      <c r="AA95">
        <v>309.08</v>
      </c>
      <c r="AB95">
        <v>0</v>
      </c>
      <c r="AC95">
        <v>0</v>
      </c>
      <c r="AD95">
        <v>0</v>
      </c>
      <c r="AE95">
        <v>150.04</v>
      </c>
      <c r="AF95">
        <v>0</v>
      </c>
      <c r="AG95">
        <v>0</v>
      </c>
      <c r="AH95">
        <v>0</v>
      </c>
      <c r="AI95">
        <v>2.06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0</v>
      </c>
      <c r="AQ95">
        <v>1</v>
      </c>
      <c r="AR95">
        <v>0</v>
      </c>
      <c r="AS95" t="s">
        <v>3</v>
      </c>
      <c r="AT95">
        <v>0.7</v>
      </c>
      <c r="AU95" t="s">
        <v>3</v>
      </c>
      <c r="AV95">
        <v>0</v>
      </c>
      <c r="AW95">
        <v>2</v>
      </c>
      <c r="AX95">
        <v>61636077</v>
      </c>
      <c r="AY95">
        <v>1</v>
      </c>
      <c r="AZ95">
        <v>0</v>
      </c>
      <c r="BA95">
        <v>95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105.02799999999999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105.02799999999999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1</v>
      </c>
      <c r="CV95">
        <v>0</v>
      </c>
      <c r="CW95">
        <v>0</v>
      </c>
      <c r="CX95">
        <f>ROUND(Y95*Source!I72,7)</f>
        <v>0</v>
      </c>
      <c r="CY95">
        <f t="shared" ref="CY95:CY103" si="45">AA95</f>
        <v>309.08</v>
      </c>
      <c r="CZ95">
        <f t="shared" ref="CZ95:CZ103" si="46">AE95</f>
        <v>150.04</v>
      </c>
      <c r="DA95">
        <f t="shared" ref="DA95:DA103" si="47">AI95</f>
        <v>2.06</v>
      </c>
      <c r="DB95">
        <f t="shared" si="42"/>
        <v>105.03</v>
      </c>
      <c r="DC95">
        <f t="shared" si="43"/>
        <v>0</v>
      </c>
      <c r="DD95" t="s">
        <v>3</v>
      </c>
      <c r="DE95" t="s">
        <v>3</v>
      </c>
      <c r="DF95">
        <f>ROUND(ROUND(AE95*AI95,2)*CX95,2)</f>
        <v>0</v>
      </c>
      <c r="DG95">
        <f t="shared" ref="DG95:DG108" si="48">ROUND(ROUND(AF95,2)*CX95,2)</f>
        <v>0</v>
      </c>
      <c r="DH95">
        <f t="shared" si="28"/>
        <v>0</v>
      </c>
      <c r="DI95">
        <f t="shared" si="29"/>
        <v>0</v>
      </c>
      <c r="DJ95">
        <f t="shared" ref="DJ95:DJ103" si="49"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ROW(Source!A72)</f>
        <v>72</v>
      </c>
      <c r="B96">
        <v>61635504</v>
      </c>
      <c r="C96">
        <v>61636055</v>
      </c>
      <c r="D96">
        <v>56577940</v>
      </c>
      <c r="E96">
        <v>1</v>
      </c>
      <c r="F96">
        <v>1</v>
      </c>
      <c r="G96">
        <v>1</v>
      </c>
      <c r="H96">
        <v>3</v>
      </c>
      <c r="I96" t="s">
        <v>434</v>
      </c>
      <c r="J96" t="s">
        <v>435</v>
      </c>
      <c r="K96" t="s">
        <v>436</v>
      </c>
      <c r="L96">
        <v>1346</v>
      </c>
      <c r="N96">
        <v>1009</v>
      </c>
      <c r="O96" t="s">
        <v>176</v>
      </c>
      <c r="P96" t="s">
        <v>176</v>
      </c>
      <c r="Q96">
        <v>1</v>
      </c>
      <c r="W96">
        <v>0</v>
      </c>
      <c r="X96">
        <v>769317804</v>
      </c>
      <c r="Y96">
        <f t="shared" si="41"/>
        <v>1.26</v>
      </c>
      <c r="AA96">
        <v>179.88</v>
      </c>
      <c r="AB96">
        <v>0</v>
      </c>
      <c r="AC96">
        <v>0</v>
      </c>
      <c r="AD96">
        <v>0</v>
      </c>
      <c r="AE96">
        <v>187.38</v>
      </c>
      <c r="AF96">
        <v>0</v>
      </c>
      <c r="AG96">
        <v>0</v>
      </c>
      <c r="AH96">
        <v>0</v>
      </c>
      <c r="AI96">
        <v>0.96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0</v>
      </c>
      <c r="AQ96">
        <v>1</v>
      </c>
      <c r="AR96">
        <v>0</v>
      </c>
      <c r="AS96" t="s">
        <v>3</v>
      </c>
      <c r="AT96">
        <v>1.26</v>
      </c>
      <c r="AU96" t="s">
        <v>3</v>
      </c>
      <c r="AV96">
        <v>0</v>
      </c>
      <c r="AW96">
        <v>2</v>
      </c>
      <c r="AX96">
        <v>61636078</v>
      </c>
      <c r="AY96">
        <v>1</v>
      </c>
      <c r="AZ96">
        <v>0</v>
      </c>
      <c r="BA96">
        <v>96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236.09879999999998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1</v>
      </c>
      <c r="BQ96">
        <v>236.09879999999998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1</v>
      </c>
      <c r="CV96">
        <v>0</v>
      </c>
      <c r="CW96">
        <v>0</v>
      </c>
      <c r="CX96">
        <f>ROUND(Y96*Source!I72,7)</f>
        <v>0</v>
      </c>
      <c r="CY96">
        <f t="shared" si="45"/>
        <v>179.88</v>
      </c>
      <c r="CZ96">
        <f t="shared" si="46"/>
        <v>187.38</v>
      </c>
      <c r="DA96">
        <f t="shared" si="47"/>
        <v>0.96</v>
      </c>
      <c r="DB96">
        <f t="shared" si="42"/>
        <v>236.1</v>
      </c>
      <c r="DC96">
        <f t="shared" si="43"/>
        <v>0</v>
      </c>
      <c r="DD96" t="s">
        <v>3</v>
      </c>
      <c r="DE96" t="s">
        <v>3</v>
      </c>
      <c r="DF96">
        <f>ROUND(ROUND(AE96*AI96,2)*CX96,2)</f>
        <v>0</v>
      </c>
      <c r="DG96">
        <f t="shared" si="48"/>
        <v>0</v>
      </c>
      <c r="DH96">
        <f t="shared" si="28"/>
        <v>0</v>
      </c>
      <c r="DI96">
        <f t="shared" si="29"/>
        <v>0</v>
      </c>
      <c r="DJ96">
        <f t="shared" si="49"/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ROW(Source!A72)</f>
        <v>72</v>
      </c>
      <c r="B97">
        <v>61635504</v>
      </c>
      <c r="C97">
        <v>61636055</v>
      </c>
      <c r="D97">
        <v>56577966</v>
      </c>
      <c r="E97">
        <v>1</v>
      </c>
      <c r="F97">
        <v>1</v>
      </c>
      <c r="G97">
        <v>1</v>
      </c>
      <c r="H97">
        <v>3</v>
      </c>
      <c r="I97" t="s">
        <v>370</v>
      </c>
      <c r="J97" t="s">
        <v>371</v>
      </c>
      <c r="K97" t="s">
        <v>372</v>
      </c>
      <c r="L97">
        <v>1383</v>
      </c>
      <c r="N97">
        <v>1013</v>
      </c>
      <c r="O97" t="s">
        <v>373</v>
      </c>
      <c r="P97" t="s">
        <v>373</v>
      </c>
      <c r="Q97">
        <v>1</v>
      </c>
      <c r="W97">
        <v>0</v>
      </c>
      <c r="X97">
        <v>-218356995</v>
      </c>
      <c r="Y97">
        <f t="shared" si="41"/>
        <v>3.5760000000000001</v>
      </c>
      <c r="AA97">
        <v>5.4</v>
      </c>
      <c r="AB97">
        <v>0</v>
      </c>
      <c r="AC97">
        <v>0</v>
      </c>
      <c r="AD97">
        <v>0</v>
      </c>
      <c r="AE97">
        <v>5.4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1</v>
      </c>
      <c r="AR97">
        <v>0</v>
      </c>
      <c r="AS97" t="s">
        <v>3</v>
      </c>
      <c r="AT97">
        <v>3.5760000000000001</v>
      </c>
      <c r="AU97" t="s">
        <v>3</v>
      </c>
      <c r="AV97">
        <v>0</v>
      </c>
      <c r="AW97">
        <v>2</v>
      </c>
      <c r="AX97">
        <v>61636079</v>
      </c>
      <c r="AY97">
        <v>1</v>
      </c>
      <c r="AZ97">
        <v>0</v>
      </c>
      <c r="BA97">
        <v>97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19.310400000000001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1</v>
      </c>
      <c r="BQ97">
        <v>19.310400000000001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1</v>
      </c>
      <c r="CV97">
        <v>0</v>
      </c>
      <c r="CW97">
        <v>0</v>
      </c>
      <c r="CX97">
        <f>ROUND(Y97*Source!I72,7)</f>
        <v>0</v>
      </c>
      <c r="CY97">
        <f t="shared" si="45"/>
        <v>5.4</v>
      </c>
      <c r="CZ97">
        <f t="shared" si="46"/>
        <v>5.4</v>
      </c>
      <c r="DA97">
        <f t="shared" si="47"/>
        <v>1</v>
      </c>
      <c r="DB97">
        <f t="shared" si="42"/>
        <v>19.309999999999999</v>
      </c>
      <c r="DC97">
        <f t="shared" si="43"/>
        <v>0</v>
      </c>
      <c r="DD97" t="s">
        <v>3</v>
      </c>
      <c r="DE97" t="s">
        <v>3</v>
      </c>
      <c r="DF97">
        <f>ROUND(ROUND(AE97,2)*CX97,2)</f>
        <v>0</v>
      </c>
      <c r="DG97">
        <f t="shared" si="48"/>
        <v>0</v>
      </c>
      <c r="DH97">
        <f t="shared" ref="DH97:DH128" si="50">ROUND(ROUND(AG97,2)*CX97,2)</f>
        <v>0</v>
      </c>
      <c r="DI97">
        <f t="shared" ref="DI97:DI128" si="51">ROUND(ROUND(AH97,2)*CX97,2)</f>
        <v>0</v>
      </c>
      <c r="DJ97">
        <f t="shared" si="49"/>
        <v>0</v>
      </c>
      <c r="DK97">
        <v>1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ROW(Source!A72)</f>
        <v>72</v>
      </c>
      <c r="B98">
        <v>61635504</v>
      </c>
      <c r="C98">
        <v>61636055</v>
      </c>
      <c r="D98">
        <v>56578257</v>
      </c>
      <c r="E98">
        <v>1</v>
      </c>
      <c r="F98">
        <v>1</v>
      </c>
      <c r="G98">
        <v>1</v>
      </c>
      <c r="H98">
        <v>3</v>
      </c>
      <c r="I98" t="s">
        <v>380</v>
      </c>
      <c r="J98" t="s">
        <v>381</v>
      </c>
      <c r="K98" t="s">
        <v>382</v>
      </c>
      <c r="L98">
        <v>1301</v>
      </c>
      <c r="N98">
        <v>1003</v>
      </c>
      <c r="O98" t="s">
        <v>383</v>
      </c>
      <c r="P98" t="s">
        <v>383</v>
      </c>
      <c r="Q98">
        <v>1</v>
      </c>
      <c r="W98">
        <v>0</v>
      </c>
      <c r="X98">
        <v>971772098</v>
      </c>
      <c r="Y98">
        <f t="shared" si="41"/>
        <v>81.67</v>
      </c>
      <c r="AA98">
        <v>7.04</v>
      </c>
      <c r="AB98">
        <v>0</v>
      </c>
      <c r="AC98">
        <v>0</v>
      </c>
      <c r="AD98">
        <v>0</v>
      </c>
      <c r="AE98">
        <v>5.87</v>
      </c>
      <c r="AF98">
        <v>0</v>
      </c>
      <c r="AG98">
        <v>0</v>
      </c>
      <c r="AH98">
        <v>0</v>
      </c>
      <c r="AI98">
        <v>1.2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0</v>
      </c>
      <c r="AQ98">
        <v>1</v>
      </c>
      <c r="AR98">
        <v>0</v>
      </c>
      <c r="AS98" t="s">
        <v>3</v>
      </c>
      <c r="AT98">
        <v>81.67</v>
      </c>
      <c r="AU98" t="s">
        <v>3</v>
      </c>
      <c r="AV98">
        <v>0</v>
      </c>
      <c r="AW98">
        <v>2</v>
      </c>
      <c r="AX98">
        <v>61636080</v>
      </c>
      <c r="AY98">
        <v>1</v>
      </c>
      <c r="AZ98">
        <v>0</v>
      </c>
      <c r="BA98">
        <v>98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479.40290000000005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479.40290000000005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1</v>
      </c>
      <c r="CV98">
        <v>0</v>
      </c>
      <c r="CW98">
        <v>0</v>
      </c>
      <c r="CX98">
        <f>ROUND(Y98*Source!I72,7)</f>
        <v>0</v>
      </c>
      <c r="CY98">
        <f t="shared" si="45"/>
        <v>7.04</v>
      </c>
      <c r="CZ98">
        <f t="shared" si="46"/>
        <v>5.87</v>
      </c>
      <c r="DA98">
        <f t="shared" si="47"/>
        <v>1.2</v>
      </c>
      <c r="DB98">
        <f t="shared" si="42"/>
        <v>479.4</v>
      </c>
      <c r="DC98">
        <f t="shared" si="43"/>
        <v>0</v>
      </c>
      <c r="DD98" t="s">
        <v>3</v>
      </c>
      <c r="DE98" t="s">
        <v>3</v>
      </c>
      <c r="DF98">
        <f>ROUND(ROUND(AE98*AI98,2)*CX98,2)</f>
        <v>0</v>
      </c>
      <c r="DG98">
        <f t="shared" si="48"/>
        <v>0</v>
      </c>
      <c r="DH98">
        <f t="shared" si="50"/>
        <v>0</v>
      </c>
      <c r="DI98">
        <f t="shared" si="51"/>
        <v>0</v>
      </c>
      <c r="DJ98">
        <f t="shared" si="49"/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ROW(Source!A72)</f>
        <v>72</v>
      </c>
      <c r="B99">
        <v>61635504</v>
      </c>
      <c r="C99">
        <v>61636055</v>
      </c>
      <c r="D99">
        <v>56579266</v>
      </c>
      <c r="E99">
        <v>1</v>
      </c>
      <c r="F99">
        <v>1</v>
      </c>
      <c r="G99">
        <v>1</v>
      </c>
      <c r="H99">
        <v>3</v>
      </c>
      <c r="I99" t="s">
        <v>374</v>
      </c>
      <c r="J99" t="s">
        <v>375</v>
      </c>
      <c r="K99" t="s">
        <v>376</v>
      </c>
      <c r="L99">
        <v>1346</v>
      </c>
      <c r="N99">
        <v>1009</v>
      </c>
      <c r="O99" t="s">
        <v>176</v>
      </c>
      <c r="P99" t="s">
        <v>176</v>
      </c>
      <c r="Q99">
        <v>1</v>
      </c>
      <c r="W99">
        <v>0</v>
      </c>
      <c r="X99">
        <v>-1545686836</v>
      </c>
      <c r="Y99">
        <f t="shared" si="41"/>
        <v>0.48</v>
      </c>
      <c r="AA99">
        <v>147.85</v>
      </c>
      <c r="AB99">
        <v>0</v>
      </c>
      <c r="AC99">
        <v>0</v>
      </c>
      <c r="AD99">
        <v>0</v>
      </c>
      <c r="AE99">
        <v>155.63</v>
      </c>
      <c r="AF99">
        <v>0</v>
      </c>
      <c r="AG99">
        <v>0</v>
      </c>
      <c r="AH99">
        <v>0</v>
      </c>
      <c r="AI99">
        <v>0.95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0</v>
      </c>
      <c r="AP99">
        <v>0</v>
      </c>
      <c r="AQ99">
        <v>1</v>
      </c>
      <c r="AR99">
        <v>0</v>
      </c>
      <c r="AS99" t="s">
        <v>3</v>
      </c>
      <c r="AT99">
        <v>0.48</v>
      </c>
      <c r="AU99" t="s">
        <v>3</v>
      </c>
      <c r="AV99">
        <v>0</v>
      </c>
      <c r="AW99">
        <v>2</v>
      </c>
      <c r="AX99">
        <v>61636081</v>
      </c>
      <c r="AY99">
        <v>1</v>
      </c>
      <c r="AZ99">
        <v>0</v>
      </c>
      <c r="BA99">
        <v>99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74.702399999999997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1</v>
      </c>
      <c r="BQ99">
        <v>74.702399999999997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1</v>
      </c>
      <c r="CV99">
        <v>0</v>
      </c>
      <c r="CW99">
        <v>0</v>
      </c>
      <c r="CX99">
        <f>ROUND(Y99*Source!I72,7)</f>
        <v>0</v>
      </c>
      <c r="CY99">
        <f t="shared" si="45"/>
        <v>147.85</v>
      </c>
      <c r="CZ99">
        <f t="shared" si="46"/>
        <v>155.63</v>
      </c>
      <c r="DA99">
        <f t="shared" si="47"/>
        <v>0.95</v>
      </c>
      <c r="DB99">
        <f t="shared" si="42"/>
        <v>74.7</v>
      </c>
      <c r="DC99">
        <f t="shared" si="43"/>
        <v>0</v>
      </c>
      <c r="DD99" t="s">
        <v>3</v>
      </c>
      <c r="DE99" t="s">
        <v>3</v>
      </c>
      <c r="DF99">
        <f>ROUND(ROUND(AE99*AI99,2)*CX99,2)</f>
        <v>0</v>
      </c>
      <c r="DG99">
        <f t="shared" si="48"/>
        <v>0</v>
      </c>
      <c r="DH99">
        <f t="shared" si="50"/>
        <v>0</v>
      </c>
      <c r="DI99">
        <f t="shared" si="51"/>
        <v>0</v>
      </c>
      <c r="DJ99">
        <f t="shared" si="49"/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ROW(Source!A72)</f>
        <v>72</v>
      </c>
      <c r="B100">
        <v>61635504</v>
      </c>
      <c r="C100">
        <v>61636055</v>
      </c>
      <c r="D100">
        <v>56594674</v>
      </c>
      <c r="E100">
        <v>1</v>
      </c>
      <c r="F100">
        <v>1</v>
      </c>
      <c r="G100">
        <v>1</v>
      </c>
      <c r="H100">
        <v>3</v>
      </c>
      <c r="I100" t="s">
        <v>437</v>
      </c>
      <c r="J100" t="s">
        <v>438</v>
      </c>
      <c r="K100" t="s">
        <v>439</v>
      </c>
      <c r="L100">
        <v>1348</v>
      </c>
      <c r="N100">
        <v>1009</v>
      </c>
      <c r="O100" t="s">
        <v>356</v>
      </c>
      <c r="P100" t="s">
        <v>356</v>
      </c>
      <c r="Q100">
        <v>1000</v>
      </c>
      <c r="W100">
        <v>0</v>
      </c>
      <c r="X100">
        <v>980896612</v>
      </c>
      <c r="Y100">
        <f t="shared" si="41"/>
        <v>1E-3</v>
      </c>
      <c r="AA100">
        <v>616562.72</v>
      </c>
      <c r="AB100">
        <v>0</v>
      </c>
      <c r="AC100">
        <v>0</v>
      </c>
      <c r="AD100">
        <v>0</v>
      </c>
      <c r="AE100">
        <v>790465.03</v>
      </c>
      <c r="AF100">
        <v>0</v>
      </c>
      <c r="AG100">
        <v>0</v>
      </c>
      <c r="AH100">
        <v>0</v>
      </c>
      <c r="AI100">
        <v>0.78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0</v>
      </c>
      <c r="AQ100">
        <v>1</v>
      </c>
      <c r="AR100">
        <v>0</v>
      </c>
      <c r="AS100" t="s">
        <v>3</v>
      </c>
      <c r="AT100">
        <v>1E-3</v>
      </c>
      <c r="AU100" t="s">
        <v>3</v>
      </c>
      <c r="AV100">
        <v>0</v>
      </c>
      <c r="AW100">
        <v>2</v>
      </c>
      <c r="AX100">
        <v>61636082</v>
      </c>
      <c r="AY100">
        <v>1</v>
      </c>
      <c r="AZ100">
        <v>0</v>
      </c>
      <c r="BA100">
        <v>100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790.46503000000007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790.46503000000007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1</v>
      </c>
      <c r="CV100">
        <v>0</v>
      </c>
      <c r="CW100">
        <v>0</v>
      </c>
      <c r="CX100">
        <f>ROUND(Y100*Source!I72,7)</f>
        <v>0</v>
      </c>
      <c r="CY100">
        <f t="shared" si="45"/>
        <v>616562.72</v>
      </c>
      <c r="CZ100">
        <f t="shared" si="46"/>
        <v>790465.03</v>
      </c>
      <c r="DA100">
        <f t="shared" si="47"/>
        <v>0.78</v>
      </c>
      <c r="DB100">
        <f t="shared" si="42"/>
        <v>790.47</v>
      </c>
      <c r="DC100">
        <f t="shared" si="43"/>
        <v>0</v>
      </c>
      <c r="DD100" t="s">
        <v>3</v>
      </c>
      <c r="DE100" t="s">
        <v>3</v>
      </c>
      <c r="DF100">
        <f>ROUND(ROUND(AE100*AI100,2)*CX100,2)</f>
        <v>0</v>
      </c>
      <c r="DG100">
        <f t="shared" si="48"/>
        <v>0</v>
      </c>
      <c r="DH100">
        <f t="shared" si="50"/>
        <v>0</v>
      </c>
      <c r="DI100">
        <f t="shared" si="51"/>
        <v>0</v>
      </c>
      <c r="DJ100">
        <f t="shared" si="49"/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ROW(Source!A72)</f>
        <v>72</v>
      </c>
      <c r="B101">
        <v>61635504</v>
      </c>
      <c r="C101">
        <v>61636055</v>
      </c>
      <c r="D101">
        <v>56610213</v>
      </c>
      <c r="E101">
        <v>1</v>
      </c>
      <c r="F101">
        <v>1</v>
      </c>
      <c r="G101">
        <v>1</v>
      </c>
      <c r="H101">
        <v>3</v>
      </c>
      <c r="I101" t="s">
        <v>440</v>
      </c>
      <c r="J101" t="s">
        <v>441</v>
      </c>
      <c r="K101" t="s">
        <v>442</v>
      </c>
      <c r="L101">
        <v>1348</v>
      </c>
      <c r="N101">
        <v>1009</v>
      </c>
      <c r="O101" t="s">
        <v>356</v>
      </c>
      <c r="P101" t="s">
        <v>356</v>
      </c>
      <c r="Q101">
        <v>1000</v>
      </c>
      <c r="W101">
        <v>0</v>
      </c>
      <c r="X101">
        <v>-1038139189</v>
      </c>
      <c r="Y101">
        <f t="shared" si="41"/>
        <v>1.6800000000000001E-3</v>
      </c>
      <c r="AA101">
        <v>352088.66</v>
      </c>
      <c r="AB101">
        <v>0</v>
      </c>
      <c r="AC101">
        <v>0</v>
      </c>
      <c r="AD101">
        <v>0</v>
      </c>
      <c r="AE101">
        <v>308849.7</v>
      </c>
      <c r="AF101">
        <v>0</v>
      </c>
      <c r="AG101">
        <v>0</v>
      </c>
      <c r="AH101">
        <v>0</v>
      </c>
      <c r="AI101">
        <v>1.1399999999999999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0</v>
      </c>
      <c r="AQ101">
        <v>1</v>
      </c>
      <c r="AR101">
        <v>0</v>
      </c>
      <c r="AS101" t="s">
        <v>3</v>
      </c>
      <c r="AT101">
        <v>1.6800000000000001E-3</v>
      </c>
      <c r="AU101" t="s">
        <v>3</v>
      </c>
      <c r="AV101">
        <v>0</v>
      </c>
      <c r="AW101">
        <v>2</v>
      </c>
      <c r="AX101">
        <v>61636083</v>
      </c>
      <c r="AY101">
        <v>1</v>
      </c>
      <c r="AZ101">
        <v>0</v>
      </c>
      <c r="BA101">
        <v>101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518.86749600000007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1</v>
      </c>
      <c r="BQ101">
        <v>518.86749600000007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1</v>
      </c>
      <c r="CV101">
        <v>0</v>
      </c>
      <c r="CW101">
        <v>0</v>
      </c>
      <c r="CX101">
        <f>ROUND(Y101*Source!I72,7)</f>
        <v>0</v>
      </c>
      <c r="CY101">
        <f t="shared" si="45"/>
        <v>352088.66</v>
      </c>
      <c r="CZ101">
        <f t="shared" si="46"/>
        <v>308849.7</v>
      </c>
      <c r="DA101">
        <f t="shared" si="47"/>
        <v>1.1399999999999999</v>
      </c>
      <c r="DB101">
        <f t="shared" si="42"/>
        <v>518.87</v>
      </c>
      <c r="DC101">
        <f t="shared" si="43"/>
        <v>0</v>
      </c>
      <c r="DD101" t="s">
        <v>3</v>
      </c>
      <c r="DE101" t="s">
        <v>3</v>
      </c>
      <c r="DF101">
        <f>ROUND(ROUND(AE101*AI101,2)*CX101,2)</f>
        <v>0</v>
      </c>
      <c r="DG101">
        <f t="shared" si="48"/>
        <v>0</v>
      </c>
      <c r="DH101">
        <f t="shared" si="50"/>
        <v>0</v>
      </c>
      <c r="DI101">
        <f t="shared" si="51"/>
        <v>0</v>
      </c>
      <c r="DJ101">
        <f t="shared" si="49"/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ROW(Source!A72)</f>
        <v>72</v>
      </c>
      <c r="B102">
        <v>61635504</v>
      </c>
      <c r="C102">
        <v>61636055</v>
      </c>
      <c r="D102">
        <v>56628095</v>
      </c>
      <c r="E102">
        <v>1</v>
      </c>
      <c r="F102">
        <v>1</v>
      </c>
      <c r="G102">
        <v>1</v>
      </c>
      <c r="H102">
        <v>3</v>
      </c>
      <c r="I102" t="s">
        <v>443</v>
      </c>
      <c r="J102" t="s">
        <v>444</v>
      </c>
      <c r="K102" t="s">
        <v>445</v>
      </c>
      <c r="L102">
        <v>1301</v>
      </c>
      <c r="N102">
        <v>1003</v>
      </c>
      <c r="O102" t="s">
        <v>383</v>
      </c>
      <c r="P102" t="s">
        <v>383</v>
      </c>
      <c r="Q102">
        <v>1</v>
      </c>
      <c r="W102">
        <v>0</v>
      </c>
      <c r="X102">
        <v>718052143</v>
      </c>
      <c r="Y102">
        <f t="shared" si="41"/>
        <v>51.3</v>
      </c>
      <c r="AA102">
        <v>101.75</v>
      </c>
      <c r="AB102">
        <v>0</v>
      </c>
      <c r="AC102">
        <v>0</v>
      </c>
      <c r="AD102">
        <v>0</v>
      </c>
      <c r="AE102">
        <v>73.2</v>
      </c>
      <c r="AF102">
        <v>0</v>
      </c>
      <c r="AG102">
        <v>0</v>
      </c>
      <c r="AH102">
        <v>0</v>
      </c>
      <c r="AI102">
        <v>1.39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0</v>
      </c>
      <c r="AQ102">
        <v>1</v>
      </c>
      <c r="AR102">
        <v>0</v>
      </c>
      <c r="AS102" t="s">
        <v>3</v>
      </c>
      <c r="AT102">
        <v>51.3</v>
      </c>
      <c r="AU102" t="s">
        <v>3</v>
      </c>
      <c r="AV102">
        <v>0</v>
      </c>
      <c r="AW102">
        <v>2</v>
      </c>
      <c r="AX102">
        <v>61636084</v>
      </c>
      <c r="AY102">
        <v>1</v>
      </c>
      <c r="AZ102">
        <v>0</v>
      </c>
      <c r="BA102">
        <v>102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3755.16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3755.16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ROUND(Y102*Source!I72,7)</f>
        <v>0</v>
      </c>
      <c r="CY102">
        <f t="shared" si="45"/>
        <v>101.75</v>
      </c>
      <c r="CZ102">
        <f t="shared" si="46"/>
        <v>73.2</v>
      </c>
      <c r="DA102">
        <f t="shared" si="47"/>
        <v>1.39</v>
      </c>
      <c r="DB102">
        <f t="shared" si="42"/>
        <v>3755.16</v>
      </c>
      <c r="DC102">
        <f t="shared" si="43"/>
        <v>0</v>
      </c>
      <c r="DD102" t="s">
        <v>3</v>
      </c>
      <c r="DE102" t="s">
        <v>3</v>
      </c>
      <c r="DF102">
        <f>ROUND(ROUND(AE102*AI102,2)*CX102,2)</f>
        <v>0</v>
      </c>
      <c r="DG102">
        <f t="shared" si="48"/>
        <v>0</v>
      </c>
      <c r="DH102">
        <f t="shared" si="50"/>
        <v>0</v>
      </c>
      <c r="DI102">
        <f t="shared" si="51"/>
        <v>0</v>
      </c>
      <c r="DJ102">
        <f t="shared" si="49"/>
        <v>0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ROW(Source!A72)</f>
        <v>72</v>
      </c>
      <c r="B103">
        <v>61635504</v>
      </c>
      <c r="C103">
        <v>61636055</v>
      </c>
      <c r="D103">
        <v>56223463</v>
      </c>
      <c r="E103">
        <v>108</v>
      </c>
      <c r="F103">
        <v>1</v>
      </c>
      <c r="G103">
        <v>1</v>
      </c>
      <c r="H103">
        <v>3</v>
      </c>
      <c r="I103" t="s">
        <v>363</v>
      </c>
      <c r="J103" t="s">
        <v>3</v>
      </c>
      <c r="K103" t="s">
        <v>364</v>
      </c>
      <c r="L103">
        <v>3277935</v>
      </c>
      <c r="N103">
        <v>1013</v>
      </c>
      <c r="O103" t="s">
        <v>365</v>
      </c>
      <c r="P103" t="s">
        <v>365</v>
      </c>
      <c r="Q103">
        <v>1</v>
      </c>
      <c r="W103">
        <v>0</v>
      </c>
      <c r="X103">
        <v>274903907</v>
      </c>
      <c r="Y103">
        <f t="shared" si="41"/>
        <v>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0</v>
      </c>
      <c r="AP103">
        <v>0</v>
      </c>
      <c r="AQ103">
        <v>1</v>
      </c>
      <c r="AR103">
        <v>0</v>
      </c>
      <c r="AS103" t="s">
        <v>3</v>
      </c>
      <c r="AT103">
        <v>2</v>
      </c>
      <c r="AU103" t="s">
        <v>3</v>
      </c>
      <c r="AV103">
        <v>0</v>
      </c>
      <c r="AW103">
        <v>2</v>
      </c>
      <c r="AX103">
        <v>61636085</v>
      </c>
      <c r="AY103">
        <v>1</v>
      </c>
      <c r="AZ103">
        <v>0</v>
      </c>
      <c r="BA103">
        <v>103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ROUND(Y103*Source!I72,7)</f>
        <v>0</v>
      </c>
      <c r="CY103">
        <f t="shared" si="45"/>
        <v>0</v>
      </c>
      <c r="CZ103">
        <f t="shared" si="46"/>
        <v>0</v>
      </c>
      <c r="DA103">
        <f t="shared" si="47"/>
        <v>1</v>
      </c>
      <c r="DB103">
        <f t="shared" si="42"/>
        <v>0</v>
      </c>
      <c r="DC103">
        <f t="shared" si="43"/>
        <v>0</v>
      </c>
      <c r="DD103" t="s">
        <v>3</v>
      </c>
      <c r="DE103" t="s">
        <v>3</v>
      </c>
      <c r="DF103">
        <f t="shared" ref="DF103:DF110" si="52">ROUND(ROUND(AE103,2)*CX103,2)</f>
        <v>0</v>
      </c>
      <c r="DG103">
        <f t="shared" si="48"/>
        <v>0</v>
      </c>
      <c r="DH103">
        <f t="shared" si="50"/>
        <v>0</v>
      </c>
      <c r="DI103">
        <f t="shared" si="51"/>
        <v>0</v>
      </c>
      <c r="DJ103">
        <f t="shared" si="49"/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ROW(Source!A73)</f>
        <v>73</v>
      </c>
      <c r="B104">
        <v>61635504</v>
      </c>
      <c r="C104">
        <v>61636086</v>
      </c>
      <c r="D104">
        <v>37064878</v>
      </c>
      <c r="E104">
        <v>108</v>
      </c>
      <c r="F104">
        <v>1</v>
      </c>
      <c r="G104">
        <v>1</v>
      </c>
      <c r="H104">
        <v>1</v>
      </c>
      <c r="I104" t="s">
        <v>368</v>
      </c>
      <c r="J104" t="s">
        <v>3</v>
      </c>
      <c r="K104" t="s">
        <v>369</v>
      </c>
      <c r="L104">
        <v>1191</v>
      </c>
      <c r="N104">
        <v>1013</v>
      </c>
      <c r="O104" t="s">
        <v>324</v>
      </c>
      <c r="P104" t="s">
        <v>324</v>
      </c>
      <c r="Q104">
        <v>1</v>
      </c>
      <c r="W104">
        <v>0</v>
      </c>
      <c r="X104">
        <v>-2012709214</v>
      </c>
      <c r="Y104">
        <f t="shared" si="41"/>
        <v>9.6</v>
      </c>
      <c r="AA104">
        <v>0</v>
      </c>
      <c r="AB104">
        <v>0</v>
      </c>
      <c r="AC104">
        <v>0</v>
      </c>
      <c r="AD104">
        <v>425.53</v>
      </c>
      <c r="AE104">
        <v>0</v>
      </c>
      <c r="AF104">
        <v>0</v>
      </c>
      <c r="AG104">
        <v>0</v>
      </c>
      <c r="AH104">
        <v>425.53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0</v>
      </c>
      <c r="AQ104">
        <v>1</v>
      </c>
      <c r="AR104">
        <v>0</v>
      </c>
      <c r="AS104" t="s">
        <v>3</v>
      </c>
      <c r="AT104">
        <v>9.6</v>
      </c>
      <c r="AU104" t="s">
        <v>3</v>
      </c>
      <c r="AV104">
        <v>1</v>
      </c>
      <c r="AW104">
        <v>2</v>
      </c>
      <c r="AX104">
        <v>61636089</v>
      </c>
      <c r="AY104">
        <v>1</v>
      </c>
      <c r="AZ104">
        <v>0</v>
      </c>
      <c r="BA104">
        <v>104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4085.0879999999997</v>
      </c>
      <c r="BN104">
        <v>9.6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4085.0879999999997</v>
      </c>
      <c r="BU104">
        <v>9.6</v>
      </c>
      <c r="BV104">
        <v>0</v>
      </c>
      <c r="BW104">
        <v>1</v>
      </c>
      <c r="CU104">
        <f>ROUND(AT104*Source!I73*AH104*AL104,2)</f>
        <v>0</v>
      </c>
      <c r="CV104">
        <f>ROUND(Y104*Source!I73,7)</f>
        <v>0</v>
      </c>
      <c r="CW104">
        <v>0</v>
      </c>
      <c r="CX104">
        <f>ROUND(Y104*Source!I73,7)</f>
        <v>0</v>
      </c>
      <c r="CY104">
        <f>AD104</f>
        <v>425.53</v>
      </c>
      <c r="CZ104">
        <f>AH104</f>
        <v>425.53</v>
      </c>
      <c r="DA104">
        <f>AL104</f>
        <v>1</v>
      </c>
      <c r="DB104">
        <f t="shared" si="42"/>
        <v>4085.09</v>
      </c>
      <c r="DC104">
        <f t="shared" si="43"/>
        <v>0</v>
      </c>
      <c r="DD104" t="s">
        <v>3</v>
      </c>
      <c r="DE104" t="s">
        <v>3</v>
      </c>
      <c r="DF104">
        <f t="shared" si="52"/>
        <v>0</v>
      </c>
      <c r="DG104">
        <f t="shared" si="48"/>
        <v>0</v>
      </c>
      <c r="DH104">
        <f t="shared" si="50"/>
        <v>0</v>
      </c>
      <c r="DI104">
        <f t="shared" si="51"/>
        <v>0</v>
      </c>
      <c r="DJ104">
        <f>DI104</f>
        <v>0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ROW(Source!A73)</f>
        <v>73</v>
      </c>
      <c r="B105">
        <v>61635504</v>
      </c>
      <c r="C105">
        <v>61636086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363</v>
      </c>
      <c r="J105" t="s">
        <v>3</v>
      </c>
      <c r="K105" t="s">
        <v>364</v>
      </c>
      <c r="L105">
        <v>3277935</v>
      </c>
      <c r="N105">
        <v>1013</v>
      </c>
      <c r="O105" t="s">
        <v>365</v>
      </c>
      <c r="P105" t="s">
        <v>365</v>
      </c>
      <c r="Q105">
        <v>1</v>
      </c>
      <c r="W105">
        <v>0</v>
      </c>
      <c r="X105">
        <v>274903907</v>
      </c>
      <c r="Y105">
        <f t="shared" si="41"/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0</v>
      </c>
      <c r="AQ105">
        <v>1</v>
      </c>
      <c r="AR105">
        <v>0</v>
      </c>
      <c r="AS105" t="s">
        <v>3</v>
      </c>
      <c r="AT105">
        <v>2</v>
      </c>
      <c r="AU105" t="s">
        <v>3</v>
      </c>
      <c r="AV105">
        <v>0</v>
      </c>
      <c r="AW105">
        <v>2</v>
      </c>
      <c r="AX105">
        <v>61636090</v>
      </c>
      <c r="AY105">
        <v>1</v>
      </c>
      <c r="AZ105">
        <v>0</v>
      </c>
      <c r="BA105">
        <v>105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ROUND(Y105*Source!I73,7)</f>
        <v>0</v>
      </c>
      <c r="CY105">
        <f>AA105</f>
        <v>0</v>
      </c>
      <c r="CZ105">
        <f>AE105</f>
        <v>0</v>
      </c>
      <c r="DA105">
        <f>AI105</f>
        <v>1</v>
      </c>
      <c r="DB105">
        <f t="shared" si="42"/>
        <v>0</v>
      </c>
      <c r="DC105">
        <f t="shared" si="43"/>
        <v>0</v>
      </c>
      <c r="DD105" t="s">
        <v>3</v>
      </c>
      <c r="DE105" t="s">
        <v>3</v>
      </c>
      <c r="DF105">
        <f t="shared" si="52"/>
        <v>0</v>
      </c>
      <c r="DG105">
        <f t="shared" si="48"/>
        <v>0</v>
      </c>
      <c r="DH105">
        <f t="shared" si="50"/>
        <v>0</v>
      </c>
      <c r="DI105">
        <f t="shared" si="51"/>
        <v>0</v>
      </c>
      <c r="DJ105">
        <f>DF105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ROW(Source!A74)</f>
        <v>74</v>
      </c>
      <c r="B106">
        <v>61635504</v>
      </c>
      <c r="C106">
        <v>61636091</v>
      </c>
      <c r="D106">
        <v>37064878</v>
      </c>
      <c r="E106">
        <v>108</v>
      </c>
      <c r="F106">
        <v>1</v>
      </c>
      <c r="G106">
        <v>1</v>
      </c>
      <c r="H106">
        <v>1</v>
      </c>
      <c r="I106" t="s">
        <v>368</v>
      </c>
      <c r="J106" t="s">
        <v>3</v>
      </c>
      <c r="K106" t="s">
        <v>369</v>
      </c>
      <c r="L106">
        <v>1191</v>
      </c>
      <c r="N106">
        <v>1013</v>
      </c>
      <c r="O106" t="s">
        <v>324</v>
      </c>
      <c r="P106" t="s">
        <v>324</v>
      </c>
      <c r="Q106">
        <v>1</v>
      </c>
      <c r="W106">
        <v>0</v>
      </c>
      <c r="X106">
        <v>-2012709214</v>
      </c>
      <c r="Y106">
        <f t="shared" si="41"/>
        <v>9.27</v>
      </c>
      <c r="AA106">
        <v>0</v>
      </c>
      <c r="AB106">
        <v>0</v>
      </c>
      <c r="AC106">
        <v>0</v>
      </c>
      <c r="AD106">
        <v>425.53</v>
      </c>
      <c r="AE106">
        <v>0</v>
      </c>
      <c r="AF106">
        <v>0</v>
      </c>
      <c r="AG106">
        <v>0</v>
      </c>
      <c r="AH106">
        <v>425.53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0</v>
      </c>
      <c r="AQ106">
        <v>1</v>
      </c>
      <c r="AR106">
        <v>0</v>
      </c>
      <c r="AS106" t="s">
        <v>3</v>
      </c>
      <c r="AT106">
        <v>9.27</v>
      </c>
      <c r="AU106" t="s">
        <v>3</v>
      </c>
      <c r="AV106">
        <v>1</v>
      </c>
      <c r="AW106">
        <v>2</v>
      </c>
      <c r="AX106">
        <v>61636100</v>
      </c>
      <c r="AY106">
        <v>1</v>
      </c>
      <c r="AZ106">
        <v>0</v>
      </c>
      <c r="BA106">
        <v>106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3944.6630999999998</v>
      </c>
      <c r="BN106">
        <v>9.27</v>
      </c>
      <c r="BO106">
        <v>0</v>
      </c>
      <c r="BP106">
        <v>1</v>
      </c>
      <c r="BQ106">
        <v>0</v>
      </c>
      <c r="BR106">
        <v>0</v>
      </c>
      <c r="BS106">
        <v>0</v>
      </c>
      <c r="BT106">
        <v>3944.6630999999998</v>
      </c>
      <c r="BU106">
        <v>9.27</v>
      </c>
      <c r="BV106">
        <v>0</v>
      </c>
      <c r="BW106">
        <v>1</v>
      </c>
      <c r="CU106">
        <f>ROUND(AT106*Source!I74*AH106*AL106,2)</f>
        <v>0</v>
      </c>
      <c r="CV106">
        <f>ROUND(Y106*Source!I74,7)</f>
        <v>0</v>
      </c>
      <c r="CW106">
        <v>0</v>
      </c>
      <c r="CX106">
        <f>ROUND(Y106*Source!I74,7)</f>
        <v>0</v>
      </c>
      <c r="CY106">
        <f>AD106</f>
        <v>425.53</v>
      </c>
      <c r="CZ106">
        <f>AH106</f>
        <v>425.53</v>
      </c>
      <c r="DA106">
        <f>AL106</f>
        <v>1</v>
      </c>
      <c r="DB106">
        <f t="shared" si="42"/>
        <v>3944.66</v>
      </c>
      <c r="DC106">
        <f t="shared" si="43"/>
        <v>0</v>
      </c>
      <c r="DD106" t="s">
        <v>3</v>
      </c>
      <c r="DE106" t="s">
        <v>3</v>
      </c>
      <c r="DF106">
        <f t="shared" si="52"/>
        <v>0</v>
      </c>
      <c r="DG106">
        <f t="shared" si="48"/>
        <v>0</v>
      </c>
      <c r="DH106">
        <f t="shared" si="50"/>
        <v>0</v>
      </c>
      <c r="DI106">
        <f t="shared" si="51"/>
        <v>0</v>
      </c>
      <c r="DJ106">
        <f>DI106</f>
        <v>0</v>
      </c>
      <c r="DK106">
        <v>1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ROW(Source!A74)</f>
        <v>74</v>
      </c>
      <c r="B107">
        <v>61635504</v>
      </c>
      <c r="C107">
        <v>61636091</v>
      </c>
      <c r="D107">
        <v>37064876</v>
      </c>
      <c r="E107">
        <v>108</v>
      </c>
      <c r="F107">
        <v>1</v>
      </c>
      <c r="G107">
        <v>1</v>
      </c>
      <c r="H107">
        <v>1</v>
      </c>
      <c r="I107" t="s">
        <v>322</v>
      </c>
      <c r="J107" t="s">
        <v>3</v>
      </c>
      <c r="K107" t="s">
        <v>323</v>
      </c>
      <c r="L107">
        <v>1191</v>
      </c>
      <c r="N107">
        <v>1013</v>
      </c>
      <c r="O107" t="s">
        <v>324</v>
      </c>
      <c r="P107" t="s">
        <v>324</v>
      </c>
      <c r="Q107">
        <v>1</v>
      </c>
      <c r="W107">
        <v>0</v>
      </c>
      <c r="X107">
        <v>-1417349443</v>
      </c>
      <c r="Y107">
        <f t="shared" si="41"/>
        <v>0.34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0</v>
      </c>
      <c r="AQ107">
        <v>1</v>
      </c>
      <c r="AR107">
        <v>0</v>
      </c>
      <c r="AS107" t="s">
        <v>3</v>
      </c>
      <c r="AT107">
        <v>0.34</v>
      </c>
      <c r="AU107" t="s">
        <v>3</v>
      </c>
      <c r="AV107">
        <v>2</v>
      </c>
      <c r="AW107">
        <v>2</v>
      </c>
      <c r="AX107">
        <v>61636101</v>
      </c>
      <c r="AY107">
        <v>1</v>
      </c>
      <c r="AZ107">
        <v>0</v>
      </c>
      <c r="BA107">
        <v>107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ROUND(Y107*Source!I74,7)</f>
        <v>0</v>
      </c>
      <c r="CY107">
        <f>AD107</f>
        <v>0</v>
      </c>
      <c r="CZ107">
        <f>AH107</f>
        <v>0</v>
      </c>
      <c r="DA107">
        <f>AL107</f>
        <v>1</v>
      </c>
      <c r="DB107">
        <f t="shared" si="42"/>
        <v>0</v>
      </c>
      <c r="DC107">
        <f t="shared" si="43"/>
        <v>0</v>
      </c>
      <c r="DD107" t="s">
        <v>3</v>
      </c>
      <c r="DE107" t="s">
        <v>3</v>
      </c>
      <c r="DF107">
        <f t="shared" si="52"/>
        <v>0</v>
      </c>
      <c r="DG107">
        <f t="shared" si="48"/>
        <v>0</v>
      </c>
      <c r="DH107">
        <f t="shared" si="50"/>
        <v>0</v>
      </c>
      <c r="DI107">
        <f t="shared" si="51"/>
        <v>0</v>
      </c>
      <c r="DJ107">
        <f>DI107</f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ROW(Source!A74)</f>
        <v>74</v>
      </c>
      <c r="B108">
        <v>61635504</v>
      </c>
      <c r="C108">
        <v>61636091</v>
      </c>
      <c r="D108">
        <v>56571417</v>
      </c>
      <c r="E108">
        <v>1</v>
      </c>
      <c r="F108">
        <v>1</v>
      </c>
      <c r="G108">
        <v>1</v>
      </c>
      <c r="H108">
        <v>2</v>
      </c>
      <c r="I108" t="s">
        <v>325</v>
      </c>
      <c r="J108" t="s">
        <v>326</v>
      </c>
      <c r="K108" t="s">
        <v>327</v>
      </c>
      <c r="L108">
        <v>1368</v>
      </c>
      <c r="N108">
        <v>1011</v>
      </c>
      <c r="O108" t="s">
        <v>194</v>
      </c>
      <c r="P108" t="s">
        <v>194</v>
      </c>
      <c r="Q108">
        <v>1</v>
      </c>
      <c r="W108">
        <v>0</v>
      </c>
      <c r="X108">
        <v>-848025172</v>
      </c>
      <c r="Y108">
        <f t="shared" si="41"/>
        <v>0.17</v>
      </c>
      <c r="AA108">
        <v>0</v>
      </c>
      <c r="AB108">
        <v>1459.82</v>
      </c>
      <c r="AC108">
        <v>584.69000000000005</v>
      </c>
      <c r="AD108">
        <v>0</v>
      </c>
      <c r="AE108">
        <v>0</v>
      </c>
      <c r="AF108">
        <v>1459.82</v>
      </c>
      <c r="AG108">
        <v>584.69000000000005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0</v>
      </c>
      <c r="AQ108">
        <v>1</v>
      </c>
      <c r="AR108">
        <v>0</v>
      </c>
      <c r="AS108" t="s">
        <v>3</v>
      </c>
      <c r="AT108">
        <v>0.17</v>
      </c>
      <c r="AU108" t="s">
        <v>3</v>
      </c>
      <c r="AV108">
        <v>1</v>
      </c>
      <c r="AW108">
        <v>2</v>
      </c>
      <c r="AX108">
        <v>61636102</v>
      </c>
      <c r="AY108">
        <v>1</v>
      </c>
      <c r="AZ108">
        <v>0</v>
      </c>
      <c r="BA108">
        <v>108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248.1694</v>
      </c>
      <c r="BL108">
        <v>99.397300000000016</v>
      </c>
      <c r="BM108">
        <v>0</v>
      </c>
      <c r="BN108">
        <v>0</v>
      </c>
      <c r="BO108">
        <v>0.17</v>
      </c>
      <c r="BP108">
        <v>1</v>
      </c>
      <c r="BQ108">
        <v>0</v>
      </c>
      <c r="BR108">
        <v>248.1694</v>
      </c>
      <c r="BS108">
        <v>99.397300000000016</v>
      </c>
      <c r="BT108">
        <v>0</v>
      </c>
      <c r="BU108">
        <v>0</v>
      </c>
      <c r="BV108">
        <v>0.17</v>
      </c>
      <c r="BW108">
        <v>1</v>
      </c>
      <c r="CV108">
        <v>0</v>
      </c>
      <c r="CW108">
        <f>ROUND(Y108*Source!I74*DO108,7)</f>
        <v>0</v>
      </c>
      <c r="CX108">
        <f>ROUND(Y108*Source!I74,7)</f>
        <v>0</v>
      </c>
      <c r="CY108">
        <f>AB108</f>
        <v>1459.82</v>
      </c>
      <c r="CZ108">
        <f>AF108</f>
        <v>1459.82</v>
      </c>
      <c r="DA108">
        <f>AJ108</f>
        <v>1</v>
      </c>
      <c r="DB108">
        <f t="shared" si="42"/>
        <v>248.17</v>
      </c>
      <c r="DC108">
        <f t="shared" si="43"/>
        <v>99.4</v>
      </c>
      <c r="DD108" t="s">
        <v>3</v>
      </c>
      <c r="DE108" t="s">
        <v>3</v>
      </c>
      <c r="DF108">
        <f t="shared" si="52"/>
        <v>0</v>
      </c>
      <c r="DG108">
        <f t="shared" si="48"/>
        <v>0</v>
      </c>
      <c r="DH108">
        <f t="shared" si="50"/>
        <v>0</v>
      </c>
      <c r="DI108">
        <f t="shared" si="51"/>
        <v>0</v>
      </c>
      <c r="DJ108">
        <f>DG108+DH108</f>
        <v>0</v>
      </c>
      <c r="DK108">
        <v>1</v>
      </c>
      <c r="DL108" t="s">
        <v>328</v>
      </c>
      <c r="DM108">
        <v>6</v>
      </c>
      <c r="DN108" t="s">
        <v>324</v>
      </c>
      <c r="DO108">
        <v>1</v>
      </c>
    </row>
    <row r="109" spans="1:119" x14ac:dyDescent="0.2">
      <c r="A109">
        <f>ROW(Source!A74)</f>
        <v>74</v>
      </c>
      <c r="B109">
        <v>61635504</v>
      </c>
      <c r="C109">
        <v>61636091</v>
      </c>
      <c r="D109">
        <v>56572833</v>
      </c>
      <c r="E109">
        <v>1</v>
      </c>
      <c r="F109">
        <v>1</v>
      </c>
      <c r="G109">
        <v>1</v>
      </c>
      <c r="H109">
        <v>2</v>
      </c>
      <c r="I109" t="s">
        <v>336</v>
      </c>
      <c r="J109" t="s">
        <v>337</v>
      </c>
      <c r="K109" t="s">
        <v>338</v>
      </c>
      <c r="L109">
        <v>1368</v>
      </c>
      <c r="N109">
        <v>1011</v>
      </c>
      <c r="O109" t="s">
        <v>194</v>
      </c>
      <c r="P109" t="s">
        <v>194</v>
      </c>
      <c r="Q109">
        <v>1</v>
      </c>
      <c r="W109">
        <v>0</v>
      </c>
      <c r="X109">
        <v>1230426758</v>
      </c>
      <c r="Y109">
        <f t="shared" si="41"/>
        <v>0.17</v>
      </c>
      <c r="AA109">
        <v>0</v>
      </c>
      <c r="AB109">
        <v>568.72</v>
      </c>
      <c r="AC109">
        <v>435.27</v>
      </c>
      <c r="AD109">
        <v>0</v>
      </c>
      <c r="AE109">
        <v>0</v>
      </c>
      <c r="AF109">
        <v>477.92</v>
      </c>
      <c r="AG109">
        <v>435.27</v>
      </c>
      <c r="AH109">
        <v>0</v>
      </c>
      <c r="AI109">
        <v>1</v>
      </c>
      <c r="AJ109">
        <v>1.19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0</v>
      </c>
      <c r="AQ109">
        <v>1</v>
      </c>
      <c r="AR109">
        <v>0</v>
      </c>
      <c r="AS109" t="s">
        <v>3</v>
      </c>
      <c r="AT109">
        <v>0.17</v>
      </c>
      <c r="AU109" t="s">
        <v>3</v>
      </c>
      <c r="AV109">
        <v>1</v>
      </c>
      <c r="AW109">
        <v>2</v>
      </c>
      <c r="AX109">
        <v>61636103</v>
      </c>
      <c r="AY109">
        <v>1</v>
      </c>
      <c r="AZ109">
        <v>0</v>
      </c>
      <c r="BA109">
        <v>109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81.246400000000008</v>
      </c>
      <c r="BL109">
        <v>73.995900000000006</v>
      </c>
      <c r="BM109">
        <v>0</v>
      </c>
      <c r="BN109">
        <v>0</v>
      </c>
      <c r="BO109">
        <v>0.17</v>
      </c>
      <c r="BP109">
        <v>1</v>
      </c>
      <c r="BQ109">
        <v>0</v>
      </c>
      <c r="BR109">
        <v>81.246400000000008</v>
      </c>
      <c r="BS109">
        <v>73.995900000000006</v>
      </c>
      <c r="BT109">
        <v>0</v>
      </c>
      <c r="BU109">
        <v>0</v>
      </c>
      <c r="BV109">
        <v>0.17</v>
      </c>
      <c r="BW109">
        <v>1</v>
      </c>
      <c r="CV109">
        <v>0</v>
      </c>
      <c r="CW109">
        <f>ROUND(Y109*Source!I74*DO109,7)</f>
        <v>0</v>
      </c>
      <c r="CX109">
        <f>ROUND(Y109*Source!I74,7)</f>
        <v>0</v>
      </c>
      <c r="CY109">
        <f>AB109</f>
        <v>568.72</v>
      </c>
      <c r="CZ109">
        <f>AF109</f>
        <v>477.92</v>
      </c>
      <c r="DA109">
        <f>AJ109</f>
        <v>1.19</v>
      </c>
      <c r="DB109">
        <f t="shared" si="42"/>
        <v>81.25</v>
      </c>
      <c r="DC109">
        <f t="shared" si="43"/>
        <v>74</v>
      </c>
      <c r="DD109" t="s">
        <v>3</v>
      </c>
      <c r="DE109" t="s">
        <v>3</v>
      </c>
      <c r="DF109">
        <f t="shared" si="52"/>
        <v>0</v>
      </c>
      <c r="DG109">
        <f>ROUND(ROUND(AF109*AJ109,2)*CX109,2)</f>
        <v>0</v>
      </c>
      <c r="DH109">
        <f t="shared" si="50"/>
        <v>0</v>
      </c>
      <c r="DI109">
        <f t="shared" si="51"/>
        <v>0</v>
      </c>
      <c r="DJ109">
        <f>DG109+DH109</f>
        <v>0</v>
      </c>
      <c r="DK109">
        <v>1</v>
      </c>
      <c r="DL109" t="s">
        <v>335</v>
      </c>
      <c r="DM109">
        <v>4</v>
      </c>
      <c r="DN109" t="s">
        <v>324</v>
      </c>
      <c r="DO109">
        <v>1</v>
      </c>
    </row>
    <row r="110" spans="1:119" x14ac:dyDescent="0.2">
      <c r="A110">
        <f>ROW(Source!A74)</f>
        <v>74</v>
      </c>
      <c r="B110">
        <v>61635504</v>
      </c>
      <c r="C110">
        <v>61636091</v>
      </c>
      <c r="D110">
        <v>56573153</v>
      </c>
      <c r="E110">
        <v>1</v>
      </c>
      <c r="F110">
        <v>1</v>
      </c>
      <c r="G110">
        <v>1</v>
      </c>
      <c r="H110">
        <v>2</v>
      </c>
      <c r="I110" t="s">
        <v>350</v>
      </c>
      <c r="J110" t="s">
        <v>351</v>
      </c>
      <c r="K110" t="s">
        <v>352</v>
      </c>
      <c r="L110">
        <v>1368</v>
      </c>
      <c r="N110">
        <v>1011</v>
      </c>
      <c r="O110" t="s">
        <v>194</v>
      </c>
      <c r="P110" t="s">
        <v>194</v>
      </c>
      <c r="Q110">
        <v>1</v>
      </c>
      <c r="W110">
        <v>0</v>
      </c>
      <c r="X110">
        <v>1280601743</v>
      </c>
      <c r="Y110">
        <f t="shared" si="41"/>
        <v>1.51</v>
      </c>
      <c r="AA110">
        <v>0</v>
      </c>
      <c r="AB110">
        <v>25.86</v>
      </c>
      <c r="AC110">
        <v>0</v>
      </c>
      <c r="AD110">
        <v>0</v>
      </c>
      <c r="AE110">
        <v>0</v>
      </c>
      <c r="AF110">
        <v>25.86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0</v>
      </c>
      <c r="AP110">
        <v>0</v>
      </c>
      <c r="AQ110">
        <v>1</v>
      </c>
      <c r="AR110">
        <v>0</v>
      </c>
      <c r="AS110" t="s">
        <v>3</v>
      </c>
      <c r="AT110">
        <v>1.51</v>
      </c>
      <c r="AU110" t="s">
        <v>3</v>
      </c>
      <c r="AV110">
        <v>1</v>
      </c>
      <c r="AW110">
        <v>2</v>
      </c>
      <c r="AX110">
        <v>61636104</v>
      </c>
      <c r="AY110">
        <v>1</v>
      </c>
      <c r="AZ110">
        <v>0</v>
      </c>
      <c r="BA110">
        <v>110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39.0486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0</v>
      </c>
      <c r="BR110">
        <v>39.0486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f>ROUND(Y110*Source!I74*DO110,7)</f>
        <v>0</v>
      </c>
      <c r="CX110">
        <f>ROUND(Y110*Source!I74,7)</f>
        <v>0</v>
      </c>
      <c r="CY110">
        <f>AB110</f>
        <v>25.86</v>
      </c>
      <c r="CZ110">
        <f>AF110</f>
        <v>25.86</v>
      </c>
      <c r="DA110">
        <f>AJ110</f>
        <v>1</v>
      </c>
      <c r="DB110">
        <f t="shared" si="42"/>
        <v>39.049999999999997</v>
      </c>
      <c r="DC110">
        <f t="shared" si="43"/>
        <v>0</v>
      </c>
      <c r="DD110" t="s">
        <v>3</v>
      </c>
      <c r="DE110" t="s">
        <v>3</v>
      </c>
      <c r="DF110">
        <f t="shared" si="52"/>
        <v>0</v>
      </c>
      <c r="DG110">
        <f t="shared" ref="DG110:DG116" si="53">ROUND(ROUND(AF110,2)*CX110,2)</f>
        <v>0</v>
      </c>
      <c r="DH110">
        <f t="shared" si="50"/>
        <v>0</v>
      </c>
      <c r="DI110">
        <f t="shared" si="51"/>
        <v>0</v>
      </c>
      <c r="DJ110">
        <f>DG110+DH110</f>
        <v>0</v>
      </c>
      <c r="DK110">
        <v>1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ROW(Source!A74)</f>
        <v>74</v>
      </c>
      <c r="B111">
        <v>61635504</v>
      </c>
      <c r="C111">
        <v>61636091</v>
      </c>
      <c r="D111">
        <v>56579266</v>
      </c>
      <c r="E111">
        <v>1</v>
      </c>
      <c r="F111">
        <v>1</v>
      </c>
      <c r="G111">
        <v>1</v>
      </c>
      <c r="H111">
        <v>3</v>
      </c>
      <c r="I111" t="s">
        <v>374</v>
      </c>
      <c r="J111" t="s">
        <v>375</v>
      </c>
      <c r="K111" t="s">
        <v>376</v>
      </c>
      <c r="L111">
        <v>1346</v>
      </c>
      <c r="N111">
        <v>1009</v>
      </c>
      <c r="O111" t="s">
        <v>176</v>
      </c>
      <c r="P111" t="s">
        <v>176</v>
      </c>
      <c r="Q111">
        <v>1</v>
      </c>
      <c r="W111">
        <v>0</v>
      </c>
      <c r="X111">
        <v>-1545686836</v>
      </c>
      <c r="Y111">
        <f t="shared" si="41"/>
        <v>0.65</v>
      </c>
      <c r="AA111">
        <v>147.85</v>
      </c>
      <c r="AB111">
        <v>0</v>
      </c>
      <c r="AC111">
        <v>0</v>
      </c>
      <c r="AD111">
        <v>0</v>
      </c>
      <c r="AE111">
        <v>155.63</v>
      </c>
      <c r="AF111">
        <v>0</v>
      </c>
      <c r="AG111">
        <v>0</v>
      </c>
      <c r="AH111">
        <v>0</v>
      </c>
      <c r="AI111">
        <v>0.95</v>
      </c>
      <c r="AJ111">
        <v>1</v>
      </c>
      <c r="AK111">
        <v>1</v>
      </c>
      <c r="AL111">
        <v>1</v>
      </c>
      <c r="AM111">
        <v>2</v>
      </c>
      <c r="AN111">
        <v>0</v>
      </c>
      <c r="AO111">
        <v>0</v>
      </c>
      <c r="AP111">
        <v>0</v>
      </c>
      <c r="AQ111">
        <v>1</v>
      </c>
      <c r="AR111">
        <v>0</v>
      </c>
      <c r="AS111" t="s">
        <v>3</v>
      </c>
      <c r="AT111">
        <v>0.65</v>
      </c>
      <c r="AU111" t="s">
        <v>3</v>
      </c>
      <c r="AV111">
        <v>0</v>
      </c>
      <c r="AW111">
        <v>2</v>
      </c>
      <c r="AX111">
        <v>61636105</v>
      </c>
      <c r="AY111">
        <v>1</v>
      </c>
      <c r="AZ111">
        <v>0</v>
      </c>
      <c r="BA111">
        <v>111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101.15949999999999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1</v>
      </c>
      <c r="BQ111">
        <v>101.15949999999999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1</v>
      </c>
      <c r="CV111">
        <v>0</v>
      </c>
      <c r="CW111">
        <v>0</v>
      </c>
      <c r="CX111">
        <f>ROUND(Y111*Source!I74,7)</f>
        <v>0</v>
      </c>
      <c r="CY111">
        <f>AA111</f>
        <v>147.85</v>
      </c>
      <c r="CZ111">
        <f>AE111</f>
        <v>155.63</v>
      </c>
      <c r="DA111">
        <f>AI111</f>
        <v>0.95</v>
      </c>
      <c r="DB111">
        <f t="shared" si="42"/>
        <v>101.16</v>
      </c>
      <c r="DC111">
        <f t="shared" si="43"/>
        <v>0</v>
      </c>
      <c r="DD111" t="s">
        <v>3</v>
      </c>
      <c r="DE111" t="s">
        <v>3</v>
      </c>
      <c r="DF111">
        <f>ROUND(ROUND(AE111*AI111,2)*CX111,2)</f>
        <v>0</v>
      </c>
      <c r="DG111">
        <f t="shared" si="53"/>
        <v>0</v>
      </c>
      <c r="DH111">
        <f t="shared" si="50"/>
        <v>0</v>
      </c>
      <c r="DI111">
        <f t="shared" si="51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ROW(Source!A74)</f>
        <v>74</v>
      </c>
      <c r="B112">
        <v>61635504</v>
      </c>
      <c r="C112">
        <v>61636091</v>
      </c>
      <c r="D112">
        <v>56609983</v>
      </c>
      <c r="E112">
        <v>1</v>
      </c>
      <c r="F112">
        <v>1</v>
      </c>
      <c r="G112">
        <v>1</v>
      </c>
      <c r="H112">
        <v>3</v>
      </c>
      <c r="I112" t="s">
        <v>446</v>
      </c>
      <c r="J112" t="s">
        <v>447</v>
      </c>
      <c r="K112" t="s">
        <v>448</v>
      </c>
      <c r="L112">
        <v>1346</v>
      </c>
      <c r="N112">
        <v>1009</v>
      </c>
      <c r="O112" t="s">
        <v>176</v>
      </c>
      <c r="P112" t="s">
        <v>176</v>
      </c>
      <c r="Q112">
        <v>1</v>
      </c>
      <c r="W112">
        <v>0</v>
      </c>
      <c r="X112">
        <v>4985900</v>
      </c>
      <c r="Y112">
        <f t="shared" si="41"/>
        <v>2</v>
      </c>
      <c r="AA112">
        <v>1048.29</v>
      </c>
      <c r="AB112">
        <v>0</v>
      </c>
      <c r="AC112">
        <v>0</v>
      </c>
      <c r="AD112">
        <v>0</v>
      </c>
      <c r="AE112">
        <v>911.56</v>
      </c>
      <c r="AF112">
        <v>0</v>
      </c>
      <c r="AG112">
        <v>0</v>
      </c>
      <c r="AH112">
        <v>0</v>
      </c>
      <c r="AI112">
        <v>1.1499999999999999</v>
      </c>
      <c r="AJ112">
        <v>1</v>
      </c>
      <c r="AK112">
        <v>1</v>
      </c>
      <c r="AL112">
        <v>1</v>
      </c>
      <c r="AM112">
        <v>2</v>
      </c>
      <c r="AN112">
        <v>0</v>
      </c>
      <c r="AO112">
        <v>0</v>
      </c>
      <c r="AP112">
        <v>0</v>
      </c>
      <c r="AQ112">
        <v>1</v>
      </c>
      <c r="AR112">
        <v>0</v>
      </c>
      <c r="AS112" t="s">
        <v>3</v>
      </c>
      <c r="AT112">
        <v>2</v>
      </c>
      <c r="AU112" t="s">
        <v>3</v>
      </c>
      <c r="AV112">
        <v>0</v>
      </c>
      <c r="AW112">
        <v>2</v>
      </c>
      <c r="AX112">
        <v>61636106</v>
      </c>
      <c r="AY112">
        <v>1</v>
      </c>
      <c r="AZ112">
        <v>0</v>
      </c>
      <c r="BA112">
        <v>112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1823.12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1</v>
      </c>
      <c r="BQ112">
        <v>1823.12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1</v>
      </c>
      <c r="CV112">
        <v>0</v>
      </c>
      <c r="CW112">
        <v>0</v>
      </c>
      <c r="CX112">
        <f>ROUND(Y112*Source!I74,7)</f>
        <v>0</v>
      </c>
      <c r="CY112">
        <f>AA112</f>
        <v>1048.29</v>
      </c>
      <c r="CZ112">
        <f>AE112</f>
        <v>911.56</v>
      </c>
      <c r="DA112">
        <f>AI112</f>
        <v>1.1499999999999999</v>
      </c>
      <c r="DB112">
        <f t="shared" si="42"/>
        <v>1823.12</v>
      </c>
      <c r="DC112">
        <f t="shared" si="43"/>
        <v>0</v>
      </c>
      <c r="DD112" t="s">
        <v>3</v>
      </c>
      <c r="DE112" t="s">
        <v>3</v>
      </c>
      <c r="DF112">
        <f>ROUND(ROUND(AE112*AI112,2)*CX112,2)</f>
        <v>0</v>
      </c>
      <c r="DG112">
        <f t="shared" si="53"/>
        <v>0</v>
      </c>
      <c r="DH112">
        <f t="shared" si="50"/>
        <v>0</v>
      </c>
      <c r="DI112">
        <f t="shared" si="51"/>
        <v>0</v>
      </c>
      <c r="DJ112">
        <f>DF112</f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ROW(Source!A74)</f>
        <v>74</v>
      </c>
      <c r="B113">
        <v>61635504</v>
      </c>
      <c r="C113">
        <v>61636091</v>
      </c>
      <c r="D113">
        <v>56223463</v>
      </c>
      <c r="E113">
        <v>108</v>
      </c>
      <c r="F113">
        <v>1</v>
      </c>
      <c r="G113">
        <v>1</v>
      </c>
      <c r="H113">
        <v>3</v>
      </c>
      <c r="I113" t="s">
        <v>363</v>
      </c>
      <c r="J113" t="s">
        <v>3</v>
      </c>
      <c r="K113" t="s">
        <v>364</v>
      </c>
      <c r="L113">
        <v>3277935</v>
      </c>
      <c r="N113">
        <v>1013</v>
      </c>
      <c r="O113" t="s">
        <v>365</v>
      </c>
      <c r="P113" t="s">
        <v>365</v>
      </c>
      <c r="Q113">
        <v>1</v>
      </c>
      <c r="W113">
        <v>0</v>
      </c>
      <c r="X113">
        <v>274903907</v>
      </c>
      <c r="Y113">
        <f t="shared" si="41"/>
        <v>2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0</v>
      </c>
      <c r="AQ113">
        <v>1</v>
      </c>
      <c r="AR113">
        <v>0</v>
      </c>
      <c r="AS113" t="s">
        <v>3</v>
      </c>
      <c r="AT113">
        <v>2</v>
      </c>
      <c r="AU113" t="s">
        <v>3</v>
      </c>
      <c r="AV113">
        <v>0</v>
      </c>
      <c r="AW113">
        <v>2</v>
      </c>
      <c r="AX113">
        <v>61636107</v>
      </c>
      <c r="AY113">
        <v>1</v>
      </c>
      <c r="AZ113">
        <v>0</v>
      </c>
      <c r="BA113">
        <v>113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ROUND(Y113*Source!I74,7)</f>
        <v>0</v>
      </c>
      <c r="CY113">
        <f>AA113</f>
        <v>0</v>
      </c>
      <c r="CZ113">
        <f>AE113</f>
        <v>0</v>
      </c>
      <c r="DA113">
        <f>AI113</f>
        <v>1</v>
      </c>
      <c r="DB113">
        <f t="shared" si="42"/>
        <v>0</v>
      </c>
      <c r="DC113">
        <f t="shared" si="43"/>
        <v>0</v>
      </c>
      <c r="DD113" t="s">
        <v>3</v>
      </c>
      <c r="DE113" t="s">
        <v>3</v>
      </c>
      <c r="DF113">
        <f t="shared" ref="DF113:DF118" si="54">ROUND(ROUND(AE113,2)*CX113,2)</f>
        <v>0</v>
      </c>
      <c r="DG113">
        <f t="shared" si="53"/>
        <v>0</v>
      </c>
      <c r="DH113">
        <f t="shared" si="50"/>
        <v>0</v>
      </c>
      <c r="DI113">
        <f t="shared" si="51"/>
        <v>0</v>
      </c>
      <c r="DJ113">
        <f>DF113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ROW(Source!A75)</f>
        <v>75</v>
      </c>
      <c r="B114">
        <v>61635504</v>
      </c>
      <c r="C114">
        <v>61636108</v>
      </c>
      <c r="D114">
        <v>37064878</v>
      </c>
      <c r="E114">
        <v>108</v>
      </c>
      <c r="F114">
        <v>1</v>
      </c>
      <c r="G114">
        <v>1</v>
      </c>
      <c r="H114">
        <v>1</v>
      </c>
      <c r="I114" t="s">
        <v>368</v>
      </c>
      <c r="J114" t="s">
        <v>3</v>
      </c>
      <c r="K114" t="s">
        <v>369</v>
      </c>
      <c r="L114">
        <v>1191</v>
      </c>
      <c r="N114">
        <v>1013</v>
      </c>
      <c r="O114" t="s">
        <v>324</v>
      </c>
      <c r="P114" t="s">
        <v>324</v>
      </c>
      <c r="Q114">
        <v>1</v>
      </c>
      <c r="W114">
        <v>0</v>
      </c>
      <c r="X114">
        <v>-2012709214</v>
      </c>
      <c r="Y114">
        <f t="shared" si="41"/>
        <v>17.5</v>
      </c>
      <c r="AA114">
        <v>0</v>
      </c>
      <c r="AB114">
        <v>0</v>
      </c>
      <c r="AC114">
        <v>0</v>
      </c>
      <c r="AD114">
        <v>425.53</v>
      </c>
      <c r="AE114">
        <v>0</v>
      </c>
      <c r="AF114">
        <v>0</v>
      </c>
      <c r="AG114">
        <v>0</v>
      </c>
      <c r="AH114">
        <v>425.53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0</v>
      </c>
      <c r="AQ114">
        <v>1</v>
      </c>
      <c r="AR114">
        <v>0</v>
      </c>
      <c r="AS114" t="s">
        <v>3</v>
      </c>
      <c r="AT114">
        <v>17.5</v>
      </c>
      <c r="AU114" t="s">
        <v>3</v>
      </c>
      <c r="AV114">
        <v>1</v>
      </c>
      <c r="AW114">
        <v>2</v>
      </c>
      <c r="AX114">
        <v>61636118</v>
      </c>
      <c r="AY114">
        <v>1</v>
      </c>
      <c r="AZ114">
        <v>0</v>
      </c>
      <c r="BA114">
        <v>114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7446.7749999999996</v>
      </c>
      <c r="BN114">
        <v>17.5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7446.7749999999996</v>
      </c>
      <c r="BU114">
        <v>17.5</v>
      </c>
      <c r="BV114">
        <v>0</v>
      </c>
      <c r="BW114">
        <v>1</v>
      </c>
      <c r="CU114">
        <f>ROUND(AT114*Source!I75*AH114*AL114,2)</f>
        <v>0</v>
      </c>
      <c r="CV114">
        <f>ROUND(Y114*Source!I75,7)</f>
        <v>0</v>
      </c>
      <c r="CW114">
        <v>0</v>
      </c>
      <c r="CX114">
        <f>ROUND(Y114*Source!I75,7)</f>
        <v>0</v>
      </c>
      <c r="CY114">
        <f>AD114</f>
        <v>425.53</v>
      </c>
      <c r="CZ114">
        <f>AH114</f>
        <v>425.53</v>
      </c>
      <c r="DA114">
        <f>AL114</f>
        <v>1</v>
      </c>
      <c r="DB114">
        <f t="shared" si="42"/>
        <v>7446.78</v>
      </c>
      <c r="DC114">
        <f t="shared" si="43"/>
        <v>0</v>
      </c>
      <c r="DD114" t="s">
        <v>3</v>
      </c>
      <c r="DE114" t="s">
        <v>3</v>
      </c>
      <c r="DF114">
        <f t="shared" si="54"/>
        <v>0</v>
      </c>
      <c r="DG114">
        <f t="shared" si="53"/>
        <v>0</v>
      </c>
      <c r="DH114">
        <f t="shared" si="50"/>
        <v>0</v>
      </c>
      <c r="DI114">
        <f t="shared" si="51"/>
        <v>0</v>
      </c>
      <c r="DJ114">
        <f>DI114</f>
        <v>0</v>
      </c>
      <c r="DK114">
        <v>1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ROW(Source!A75)</f>
        <v>75</v>
      </c>
      <c r="B115">
        <v>61635504</v>
      </c>
      <c r="C115">
        <v>61636108</v>
      </c>
      <c r="D115">
        <v>37064876</v>
      </c>
      <c r="E115">
        <v>108</v>
      </c>
      <c r="F115">
        <v>1</v>
      </c>
      <c r="G115">
        <v>1</v>
      </c>
      <c r="H115">
        <v>1</v>
      </c>
      <c r="I115" t="s">
        <v>322</v>
      </c>
      <c r="J115" t="s">
        <v>3</v>
      </c>
      <c r="K115" t="s">
        <v>323</v>
      </c>
      <c r="L115">
        <v>1191</v>
      </c>
      <c r="N115">
        <v>1013</v>
      </c>
      <c r="O115" t="s">
        <v>324</v>
      </c>
      <c r="P115" t="s">
        <v>324</v>
      </c>
      <c r="Q115">
        <v>1</v>
      </c>
      <c r="W115">
        <v>0</v>
      </c>
      <c r="X115">
        <v>-1417349443</v>
      </c>
      <c r="Y115">
        <f t="shared" si="41"/>
        <v>0.2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0</v>
      </c>
      <c r="AQ115">
        <v>1</v>
      </c>
      <c r="AR115">
        <v>0</v>
      </c>
      <c r="AS115" t="s">
        <v>3</v>
      </c>
      <c r="AT115">
        <v>0.2</v>
      </c>
      <c r="AU115" t="s">
        <v>3</v>
      </c>
      <c r="AV115">
        <v>2</v>
      </c>
      <c r="AW115">
        <v>2</v>
      </c>
      <c r="AX115">
        <v>61636119</v>
      </c>
      <c r="AY115">
        <v>1</v>
      </c>
      <c r="AZ115">
        <v>0</v>
      </c>
      <c r="BA115">
        <v>115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ROUND(Y115*Source!I75,7)</f>
        <v>0</v>
      </c>
      <c r="CY115">
        <f>AD115</f>
        <v>0</v>
      </c>
      <c r="CZ115">
        <f>AH115</f>
        <v>0</v>
      </c>
      <c r="DA115">
        <f>AL115</f>
        <v>1</v>
      </c>
      <c r="DB115">
        <f t="shared" si="42"/>
        <v>0</v>
      </c>
      <c r="DC115">
        <f t="shared" si="43"/>
        <v>0</v>
      </c>
      <c r="DD115" t="s">
        <v>3</v>
      </c>
      <c r="DE115" t="s">
        <v>3</v>
      </c>
      <c r="DF115">
        <f t="shared" si="54"/>
        <v>0</v>
      </c>
      <c r="DG115">
        <f t="shared" si="53"/>
        <v>0</v>
      </c>
      <c r="DH115">
        <f t="shared" si="50"/>
        <v>0</v>
      </c>
      <c r="DI115">
        <f t="shared" si="51"/>
        <v>0</v>
      </c>
      <c r="DJ115">
        <f>DI115</f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ROW(Source!A75)</f>
        <v>75</v>
      </c>
      <c r="B116">
        <v>61635504</v>
      </c>
      <c r="C116">
        <v>61636108</v>
      </c>
      <c r="D116">
        <v>56571417</v>
      </c>
      <c r="E116">
        <v>1</v>
      </c>
      <c r="F116">
        <v>1</v>
      </c>
      <c r="G116">
        <v>1</v>
      </c>
      <c r="H116">
        <v>2</v>
      </c>
      <c r="I116" t="s">
        <v>325</v>
      </c>
      <c r="J116" t="s">
        <v>326</v>
      </c>
      <c r="K116" t="s">
        <v>327</v>
      </c>
      <c r="L116">
        <v>1368</v>
      </c>
      <c r="N116">
        <v>1011</v>
      </c>
      <c r="O116" t="s">
        <v>194</v>
      </c>
      <c r="P116" t="s">
        <v>194</v>
      </c>
      <c r="Q116">
        <v>1</v>
      </c>
      <c r="W116">
        <v>0</v>
      </c>
      <c r="X116">
        <v>-848025172</v>
      </c>
      <c r="Y116">
        <f t="shared" si="41"/>
        <v>0.1</v>
      </c>
      <c r="AA116">
        <v>0</v>
      </c>
      <c r="AB116">
        <v>1459.82</v>
      </c>
      <c r="AC116">
        <v>584.69000000000005</v>
      </c>
      <c r="AD116">
        <v>0</v>
      </c>
      <c r="AE116">
        <v>0</v>
      </c>
      <c r="AF116">
        <v>1459.82</v>
      </c>
      <c r="AG116">
        <v>584.69000000000005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0</v>
      </c>
      <c r="AQ116">
        <v>1</v>
      </c>
      <c r="AR116">
        <v>0</v>
      </c>
      <c r="AS116" t="s">
        <v>3</v>
      </c>
      <c r="AT116">
        <v>0.1</v>
      </c>
      <c r="AU116" t="s">
        <v>3</v>
      </c>
      <c r="AV116">
        <v>1</v>
      </c>
      <c r="AW116">
        <v>2</v>
      </c>
      <c r="AX116">
        <v>61636120</v>
      </c>
      <c r="AY116">
        <v>1</v>
      </c>
      <c r="AZ116">
        <v>0</v>
      </c>
      <c r="BA116">
        <v>116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145.982</v>
      </c>
      <c r="BL116">
        <v>58.469000000000008</v>
      </c>
      <c r="BM116">
        <v>0</v>
      </c>
      <c r="BN116">
        <v>0</v>
      </c>
      <c r="BO116">
        <v>0.1</v>
      </c>
      <c r="BP116">
        <v>1</v>
      </c>
      <c r="BQ116">
        <v>0</v>
      </c>
      <c r="BR116">
        <v>145.982</v>
      </c>
      <c r="BS116">
        <v>58.469000000000008</v>
      </c>
      <c r="BT116">
        <v>0</v>
      </c>
      <c r="BU116">
        <v>0</v>
      </c>
      <c r="BV116">
        <v>0.1</v>
      </c>
      <c r="BW116">
        <v>1</v>
      </c>
      <c r="CV116">
        <v>0</v>
      </c>
      <c r="CW116">
        <f>ROUND(Y116*Source!I75*DO116,7)</f>
        <v>0</v>
      </c>
      <c r="CX116">
        <f>ROUND(Y116*Source!I75,7)</f>
        <v>0</v>
      </c>
      <c r="CY116">
        <f>AB116</f>
        <v>1459.82</v>
      </c>
      <c r="CZ116">
        <f>AF116</f>
        <v>1459.82</v>
      </c>
      <c r="DA116">
        <f>AJ116</f>
        <v>1</v>
      </c>
      <c r="DB116">
        <f t="shared" si="42"/>
        <v>145.97999999999999</v>
      </c>
      <c r="DC116">
        <f t="shared" si="43"/>
        <v>58.47</v>
      </c>
      <c r="DD116" t="s">
        <v>3</v>
      </c>
      <c r="DE116" t="s">
        <v>3</v>
      </c>
      <c r="DF116">
        <f t="shared" si="54"/>
        <v>0</v>
      </c>
      <c r="DG116">
        <f t="shared" si="53"/>
        <v>0</v>
      </c>
      <c r="DH116">
        <f t="shared" si="50"/>
        <v>0</v>
      </c>
      <c r="DI116">
        <f t="shared" si="51"/>
        <v>0</v>
      </c>
      <c r="DJ116">
        <f>DG116+DH116</f>
        <v>0</v>
      </c>
      <c r="DK116">
        <v>1</v>
      </c>
      <c r="DL116" t="s">
        <v>328</v>
      </c>
      <c r="DM116">
        <v>6</v>
      </c>
      <c r="DN116" t="s">
        <v>324</v>
      </c>
      <c r="DO116">
        <v>1</v>
      </c>
    </row>
    <row r="117" spans="1:119" x14ac:dyDescent="0.2">
      <c r="A117">
        <f>ROW(Source!A75)</f>
        <v>75</v>
      </c>
      <c r="B117">
        <v>61635504</v>
      </c>
      <c r="C117">
        <v>61636108</v>
      </c>
      <c r="D117">
        <v>56572833</v>
      </c>
      <c r="E117">
        <v>1</v>
      </c>
      <c r="F117">
        <v>1</v>
      </c>
      <c r="G117">
        <v>1</v>
      </c>
      <c r="H117">
        <v>2</v>
      </c>
      <c r="I117" t="s">
        <v>336</v>
      </c>
      <c r="J117" t="s">
        <v>337</v>
      </c>
      <c r="K117" t="s">
        <v>338</v>
      </c>
      <c r="L117">
        <v>1368</v>
      </c>
      <c r="N117">
        <v>1011</v>
      </c>
      <c r="O117" t="s">
        <v>194</v>
      </c>
      <c r="P117" t="s">
        <v>194</v>
      </c>
      <c r="Q117">
        <v>1</v>
      </c>
      <c r="W117">
        <v>0</v>
      </c>
      <c r="X117">
        <v>1230426758</v>
      </c>
      <c r="Y117">
        <f t="shared" si="41"/>
        <v>0.1</v>
      </c>
      <c r="AA117">
        <v>0</v>
      </c>
      <c r="AB117">
        <v>568.72</v>
      </c>
      <c r="AC117">
        <v>435.27</v>
      </c>
      <c r="AD117">
        <v>0</v>
      </c>
      <c r="AE117">
        <v>0</v>
      </c>
      <c r="AF117">
        <v>477.92</v>
      </c>
      <c r="AG117">
        <v>435.27</v>
      </c>
      <c r="AH117">
        <v>0</v>
      </c>
      <c r="AI117">
        <v>1</v>
      </c>
      <c r="AJ117">
        <v>1.19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0</v>
      </c>
      <c r="AQ117">
        <v>1</v>
      </c>
      <c r="AR117">
        <v>0</v>
      </c>
      <c r="AS117" t="s">
        <v>3</v>
      </c>
      <c r="AT117">
        <v>0.1</v>
      </c>
      <c r="AU117" t="s">
        <v>3</v>
      </c>
      <c r="AV117">
        <v>1</v>
      </c>
      <c r="AW117">
        <v>2</v>
      </c>
      <c r="AX117">
        <v>61636121</v>
      </c>
      <c r="AY117">
        <v>1</v>
      </c>
      <c r="AZ117">
        <v>0</v>
      </c>
      <c r="BA117">
        <v>117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47.792000000000002</v>
      </c>
      <c r="BL117">
        <v>43.527000000000001</v>
      </c>
      <c r="BM117">
        <v>0</v>
      </c>
      <c r="BN117">
        <v>0</v>
      </c>
      <c r="BO117">
        <v>0.1</v>
      </c>
      <c r="BP117">
        <v>1</v>
      </c>
      <c r="BQ117">
        <v>0</v>
      </c>
      <c r="BR117">
        <v>47.792000000000002</v>
      </c>
      <c r="BS117">
        <v>43.527000000000001</v>
      </c>
      <c r="BT117">
        <v>0</v>
      </c>
      <c r="BU117">
        <v>0</v>
      </c>
      <c r="BV117">
        <v>0.1</v>
      </c>
      <c r="BW117">
        <v>1</v>
      </c>
      <c r="CV117">
        <v>0</v>
      </c>
      <c r="CW117">
        <f>ROUND(Y117*Source!I75*DO117,7)</f>
        <v>0</v>
      </c>
      <c r="CX117">
        <f>ROUND(Y117*Source!I75,7)</f>
        <v>0</v>
      </c>
      <c r="CY117">
        <f>AB117</f>
        <v>568.72</v>
      </c>
      <c r="CZ117">
        <f>AF117</f>
        <v>477.92</v>
      </c>
      <c r="DA117">
        <f>AJ117</f>
        <v>1.19</v>
      </c>
      <c r="DB117">
        <f t="shared" si="42"/>
        <v>47.79</v>
      </c>
      <c r="DC117">
        <f t="shared" si="43"/>
        <v>43.53</v>
      </c>
      <c r="DD117" t="s">
        <v>3</v>
      </c>
      <c r="DE117" t="s">
        <v>3</v>
      </c>
      <c r="DF117">
        <f t="shared" si="54"/>
        <v>0</v>
      </c>
      <c r="DG117">
        <f>ROUND(ROUND(AF117*AJ117,2)*CX117,2)</f>
        <v>0</v>
      </c>
      <c r="DH117">
        <f t="shared" si="50"/>
        <v>0</v>
      </c>
      <c r="DI117">
        <f t="shared" si="51"/>
        <v>0</v>
      </c>
      <c r="DJ117">
        <f>DG117+DH117</f>
        <v>0</v>
      </c>
      <c r="DK117">
        <v>1</v>
      </c>
      <c r="DL117" t="s">
        <v>335</v>
      </c>
      <c r="DM117">
        <v>4</v>
      </c>
      <c r="DN117" t="s">
        <v>324</v>
      </c>
      <c r="DO117">
        <v>1</v>
      </c>
    </row>
    <row r="118" spans="1:119" x14ac:dyDescent="0.2">
      <c r="A118">
        <f>ROW(Source!A75)</f>
        <v>75</v>
      </c>
      <c r="B118">
        <v>61635504</v>
      </c>
      <c r="C118">
        <v>61636108</v>
      </c>
      <c r="D118">
        <v>56573153</v>
      </c>
      <c r="E118">
        <v>1</v>
      </c>
      <c r="F118">
        <v>1</v>
      </c>
      <c r="G118">
        <v>1</v>
      </c>
      <c r="H118">
        <v>2</v>
      </c>
      <c r="I118" t="s">
        <v>350</v>
      </c>
      <c r="J118" t="s">
        <v>351</v>
      </c>
      <c r="K118" t="s">
        <v>352</v>
      </c>
      <c r="L118">
        <v>1368</v>
      </c>
      <c r="N118">
        <v>1011</v>
      </c>
      <c r="O118" t="s">
        <v>194</v>
      </c>
      <c r="P118" t="s">
        <v>194</v>
      </c>
      <c r="Q118">
        <v>1</v>
      </c>
      <c r="W118">
        <v>0</v>
      </c>
      <c r="X118">
        <v>1280601743</v>
      </c>
      <c r="Y118">
        <f t="shared" ref="Y118:Y136" si="55">AT118</f>
        <v>2.9</v>
      </c>
      <c r="AA118">
        <v>0</v>
      </c>
      <c r="AB118">
        <v>25.86</v>
      </c>
      <c r="AC118">
        <v>0</v>
      </c>
      <c r="AD118">
        <v>0</v>
      </c>
      <c r="AE118">
        <v>0</v>
      </c>
      <c r="AF118">
        <v>25.86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0</v>
      </c>
      <c r="AQ118">
        <v>1</v>
      </c>
      <c r="AR118">
        <v>0</v>
      </c>
      <c r="AS118" t="s">
        <v>3</v>
      </c>
      <c r="AT118">
        <v>2.9</v>
      </c>
      <c r="AU118" t="s">
        <v>3</v>
      </c>
      <c r="AV118">
        <v>1</v>
      </c>
      <c r="AW118">
        <v>2</v>
      </c>
      <c r="AX118">
        <v>61636122</v>
      </c>
      <c r="AY118">
        <v>1</v>
      </c>
      <c r="AZ118">
        <v>0</v>
      </c>
      <c r="BA118">
        <v>118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74.994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0</v>
      </c>
      <c r="BR118">
        <v>74.994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f>ROUND(Y118*Source!I75*DO118,7)</f>
        <v>0</v>
      </c>
      <c r="CX118">
        <f>ROUND(Y118*Source!I75,7)</f>
        <v>0</v>
      </c>
      <c r="CY118">
        <f>AB118</f>
        <v>25.86</v>
      </c>
      <c r="CZ118">
        <f>AF118</f>
        <v>25.86</v>
      </c>
      <c r="DA118">
        <f>AJ118</f>
        <v>1</v>
      </c>
      <c r="DB118">
        <f t="shared" ref="DB118:DB136" si="56">ROUND(ROUND(AT118*CZ118,2),6)</f>
        <v>74.989999999999995</v>
      </c>
      <c r="DC118">
        <f t="shared" ref="DC118:DC136" si="57">ROUND(ROUND(AT118*AG118,2),6)</f>
        <v>0</v>
      </c>
      <c r="DD118" t="s">
        <v>3</v>
      </c>
      <c r="DE118" t="s">
        <v>3</v>
      </c>
      <c r="DF118">
        <f t="shared" si="54"/>
        <v>0</v>
      </c>
      <c r="DG118">
        <f t="shared" ref="DG118:DG125" si="58">ROUND(ROUND(AF118,2)*CX118,2)</f>
        <v>0</v>
      </c>
      <c r="DH118">
        <f t="shared" si="50"/>
        <v>0</v>
      </c>
      <c r="DI118">
        <f t="shared" si="51"/>
        <v>0</v>
      </c>
      <c r="DJ118">
        <f>DG118+DH118</f>
        <v>0</v>
      </c>
      <c r="DK118">
        <v>1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ROW(Source!A75)</f>
        <v>75</v>
      </c>
      <c r="B119">
        <v>61635504</v>
      </c>
      <c r="C119">
        <v>61636108</v>
      </c>
      <c r="D119">
        <v>56579266</v>
      </c>
      <c r="E119">
        <v>1</v>
      </c>
      <c r="F119">
        <v>1</v>
      </c>
      <c r="G119">
        <v>1</v>
      </c>
      <c r="H119">
        <v>3</v>
      </c>
      <c r="I119" t="s">
        <v>374</v>
      </c>
      <c r="J119" t="s">
        <v>375</v>
      </c>
      <c r="K119" t="s">
        <v>376</v>
      </c>
      <c r="L119">
        <v>1346</v>
      </c>
      <c r="N119">
        <v>1009</v>
      </c>
      <c r="O119" t="s">
        <v>176</v>
      </c>
      <c r="P119" t="s">
        <v>176</v>
      </c>
      <c r="Q119">
        <v>1</v>
      </c>
      <c r="W119">
        <v>0</v>
      </c>
      <c r="X119">
        <v>-1545686836</v>
      </c>
      <c r="Y119">
        <f t="shared" si="55"/>
        <v>0.9</v>
      </c>
      <c r="AA119">
        <v>147.85</v>
      </c>
      <c r="AB119">
        <v>0</v>
      </c>
      <c r="AC119">
        <v>0</v>
      </c>
      <c r="AD119">
        <v>0</v>
      </c>
      <c r="AE119">
        <v>155.63</v>
      </c>
      <c r="AF119">
        <v>0</v>
      </c>
      <c r="AG119">
        <v>0</v>
      </c>
      <c r="AH119">
        <v>0</v>
      </c>
      <c r="AI119">
        <v>0.95</v>
      </c>
      <c r="AJ119">
        <v>1</v>
      </c>
      <c r="AK119">
        <v>1</v>
      </c>
      <c r="AL119">
        <v>1</v>
      </c>
      <c r="AM119">
        <v>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0.9</v>
      </c>
      <c r="AU119" t="s">
        <v>3</v>
      </c>
      <c r="AV119">
        <v>0</v>
      </c>
      <c r="AW119">
        <v>2</v>
      </c>
      <c r="AX119">
        <v>61636123</v>
      </c>
      <c r="AY119">
        <v>1</v>
      </c>
      <c r="AZ119">
        <v>0</v>
      </c>
      <c r="BA119">
        <v>119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140.06700000000001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1</v>
      </c>
      <c r="BQ119">
        <v>140.06700000000001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1</v>
      </c>
      <c r="CV119">
        <v>0</v>
      </c>
      <c r="CW119">
        <v>0</v>
      </c>
      <c r="CX119">
        <f>ROUND(Y119*Source!I75,7)</f>
        <v>0</v>
      </c>
      <c r="CY119">
        <f>AA119</f>
        <v>147.85</v>
      </c>
      <c r="CZ119">
        <f>AE119</f>
        <v>155.63</v>
      </c>
      <c r="DA119">
        <f>AI119</f>
        <v>0.95</v>
      </c>
      <c r="DB119">
        <f t="shared" si="56"/>
        <v>140.07</v>
      </c>
      <c r="DC119">
        <f t="shared" si="57"/>
        <v>0</v>
      </c>
      <c r="DD119" t="s">
        <v>3</v>
      </c>
      <c r="DE119" t="s">
        <v>3</v>
      </c>
      <c r="DF119">
        <f>ROUND(ROUND(AE119*AI119,2)*CX119,2)</f>
        <v>0</v>
      </c>
      <c r="DG119">
        <f t="shared" si="58"/>
        <v>0</v>
      </c>
      <c r="DH119">
        <f t="shared" si="50"/>
        <v>0</v>
      </c>
      <c r="DI119">
        <f t="shared" si="51"/>
        <v>0</v>
      </c>
      <c r="DJ119">
        <f>DF119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ROW(Source!A75)</f>
        <v>75</v>
      </c>
      <c r="B120">
        <v>61635504</v>
      </c>
      <c r="C120">
        <v>61636108</v>
      </c>
      <c r="D120">
        <v>56592692</v>
      </c>
      <c r="E120">
        <v>1</v>
      </c>
      <c r="F120">
        <v>1</v>
      </c>
      <c r="G120">
        <v>1</v>
      </c>
      <c r="H120">
        <v>3</v>
      </c>
      <c r="I120" t="s">
        <v>449</v>
      </c>
      <c r="J120" t="s">
        <v>450</v>
      </c>
      <c r="K120" t="s">
        <v>451</v>
      </c>
      <c r="L120">
        <v>1348</v>
      </c>
      <c r="N120">
        <v>1009</v>
      </c>
      <c r="O120" t="s">
        <v>356</v>
      </c>
      <c r="P120" t="s">
        <v>356</v>
      </c>
      <c r="Q120">
        <v>1000</v>
      </c>
      <c r="W120">
        <v>0</v>
      </c>
      <c r="X120">
        <v>-994423950</v>
      </c>
      <c r="Y120">
        <f t="shared" si="55"/>
        <v>4.0000000000000001E-3</v>
      </c>
      <c r="AA120">
        <v>63307.040000000001</v>
      </c>
      <c r="AB120">
        <v>0</v>
      </c>
      <c r="AC120">
        <v>0</v>
      </c>
      <c r="AD120">
        <v>0</v>
      </c>
      <c r="AE120">
        <v>71131.5</v>
      </c>
      <c r="AF120">
        <v>0</v>
      </c>
      <c r="AG120">
        <v>0</v>
      </c>
      <c r="AH120">
        <v>0</v>
      </c>
      <c r="AI120">
        <v>0.89</v>
      </c>
      <c r="AJ120">
        <v>1</v>
      </c>
      <c r="AK120">
        <v>1</v>
      </c>
      <c r="AL120">
        <v>1</v>
      </c>
      <c r="AM120">
        <v>2</v>
      </c>
      <c r="AN120">
        <v>0</v>
      </c>
      <c r="AO120">
        <v>0</v>
      </c>
      <c r="AP120">
        <v>0</v>
      </c>
      <c r="AQ120">
        <v>1</v>
      </c>
      <c r="AR120">
        <v>0</v>
      </c>
      <c r="AS120" t="s">
        <v>3</v>
      </c>
      <c r="AT120">
        <v>4.0000000000000001E-3</v>
      </c>
      <c r="AU120" t="s">
        <v>3</v>
      </c>
      <c r="AV120">
        <v>0</v>
      </c>
      <c r="AW120">
        <v>2</v>
      </c>
      <c r="AX120">
        <v>61636124</v>
      </c>
      <c r="AY120">
        <v>1</v>
      </c>
      <c r="AZ120">
        <v>0</v>
      </c>
      <c r="BA120">
        <v>120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284.52600000000001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1</v>
      </c>
      <c r="BQ120">
        <v>284.52600000000001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1</v>
      </c>
      <c r="CV120">
        <v>0</v>
      </c>
      <c r="CW120">
        <v>0</v>
      </c>
      <c r="CX120">
        <f>ROUND(Y120*Source!I75,7)</f>
        <v>0</v>
      </c>
      <c r="CY120">
        <f>AA120</f>
        <v>63307.040000000001</v>
      </c>
      <c r="CZ120">
        <f>AE120</f>
        <v>71131.5</v>
      </c>
      <c r="DA120">
        <f>AI120</f>
        <v>0.89</v>
      </c>
      <c r="DB120">
        <f t="shared" si="56"/>
        <v>284.52999999999997</v>
      </c>
      <c r="DC120">
        <f t="shared" si="57"/>
        <v>0</v>
      </c>
      <c r="DD120" t="s">
        <v>3</v>
      </c>
      <c r="DE120" t="s">
        <v>3</v>
      </c>
      <c r="DF120">
        <f>ROUND(ROUND(AE120*AI120,2)*CX120,2)</f>
        <v>0</v>
      </c>
      <c r="DG120">
        <f t="shared" si="58"/>
        <v>0</v>
      </c>
      <c r="DH120">
        <f t="shared" si="50"/>
        <v>0</v>
      </c>
      <c r="DI120">
        <f t="shared" si="51"/>
        <v>0</v>
      </c>
      <c r="DJ120">
        <f>DF120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ROW(Source!A75)</f>
        <v>75</v>
      </c>
      <c r="B121">
        <v>61635504</v>
      </c>
      <c r="C121">
        <v>61636108</v>
      </c>
      <c r="D121">
        <v>56609983</v>
      </c>
      <c r="E121">
        <v>1</v>
      </c>
      <c r="F121">
        <v>1</v>
      </c>
      <c r="G121">
        <v>1</v>
      </c>
      <c r="H121">
        <v>3</v>
      </c>
      <c r="I121" t="s">
        <v>446</v>
      </c>
      <c r="J121" t="s">
        <v>447</v>
      </c>
      <c r="K121" t="s">
        <v>448</v>
      </c>
      <c r="L121">
        <v>1346</v>
      </c>
      <c r="N121">
        <v>1009</v>
      </c>
      <c r="O121" t="s">
        <v>176</v>
      </c>
      <c r="P121" t="s">
        <v>176</v>
      </c>
      <c r="Q121">
        <v>1</v>
      </c>
      <c r="W121">
        <v>0</v>
      </c>
      <c r="X121">
        <v>4985900</v>
      </c>
      <c r="Y121">
        <f t="shared" si="55"/>
        <v>2</v>
      </c>
      <c r="AA121">
        <v>1048.29</v>
      </c>
      <c r="AB121">
        <v>0</v>
      </c>
      <c r="AC121">
        <v>0</v>
      </c>
      <c r="AD121">
        <v>0</v>
      </c>
      <c r="AE121">
        <v>911.56</v>
      </c>
      <c r="AF121">
        <v>0</v>
      </c>
      <c r="AG121">
        <v>0</v>
      </c>
      <c r="AH121">
        <v>0</v>
      </c>
      <c r="AI121">
        <v>1.1499999999999999</v>
      </c>
      <c r="AJ121">
        <v>1</v>
      </c>
      <c r="AK121">
        <v>1</v>
      </c>
      <c r="AL121">
        <v>1</v>
      </c>
      <c r="AM121">
        <v>2</v>
      </c>
      <c r="AN121">
        <v>0</v>
      </c>
      <c r="AO121">
        <v>0</v>
      </c>
      <c r="AP121">
        <v>0</v>
      </c>
      <c r="AQ121">
        <v>1</v>
      </c>
      <c r="AR121">
        <v>0</v>
      </c>
      <c r="AS121" t="s">
        <v>3</v>
      </c>
      <c r="AT121">
        <v>2</v>
      </c>
      <c r="AU121" t="s">
        <v>3</v>
      </c>
      <c r="AV121">
        <v>0</v>
      </c>
      <c r="AW121">
        <v>2</v>
      </c>
      <c r="AX121">
        <v>61636125</v>
      </c>
      <c r="AY121">
        <v>1</v>
      </c>
      <c r="AZ121">
        <v>0</v>
      </c>
      <c r="BA121">
        <v>121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1823.12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1</v>
      </c>
      <c r="BQ121">
        <v>1823.12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1</v>
      </c>
      <c r="CV121">
        <v>0</v>
      </c>
      <c r="CW121">
        <v>0</v>
      </c>
      <c r="CX121">
        <f>ROUND(Y121*Source!I75,7)</f>
        <v>0</v>
      </c>
      <c r="CY121">
        <f>AA121</f>
        <v>1048.29</v>
      </c>
      <c r="CZ121">
        <f>AE121</f>
        <v>911.56</v>
      </c>
      <c r="DA121">
        <f>AI121</f>
        <v>1.1499999999999999</v>
      </c>
      <c r="DB121">
        <f t="shared" si="56"/>
        <v>1823.12</v>
      </c>
      <c r="DC121">
        <f t="shared" si="57"/>
        <v>0</v>
      </c>
      <c r="DD121" t="s">
        <v>3</v>
      </c>
      <c r="DE121" t="s">
        <v>3</v>
      </c>
      <c r="DF121">
        <f>ROUND(ROUND(AE121*AI121,2)*CX121,2)</f>
        <v>0</v>
      </c>
      <c r="DG121">
        <f t="shared" si="58"/>
        <v>0</v>
      </c>
      <c r="DH121">
        <f t="shared" si="50"/>
        <v>0</v>
      </c>
      <c r="DI121">
        <f t="shared" si="51"/>
        <v>0</v>
      </c>
      <c r="DJ121">
        <f>DF121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ROW(Source!A75)</f>
        <v>75</v>
      </c>
      <c r="B122">
        <v>61635504</v>
      </c>
      <c r="C122">
        <v>61636108</v>
      </c>
      <c r="D122">
        <v>56223463</v>
      </c>
      <c r="E122">
        <v>108</v>
      </c>
      <c r="F122">
        <v>1</v>
      </c>
      <c r="G122">
        <v>1</v>
      </c>
      <c r="H122">
        <v>3</v>
      </c>
      <c r="I122" t="s">
        <v>363</v>
      </c>
      <c r="J122" t="s">
        <v>3</v>
      </c>
      <c r="K122" t="s">
        <v>364</v>
      </c>
      <c r="L122">
        <v>3277935</v>
      </c>
      <c r="N122">
        <v>1013</v>
      </c>
      <c r="O122" t="s">
        <v>365</v>
      </c>
      <c r="P122" t="s">
        <v>365</v>
      </c>
      <c r="Q122">
        <v>1</v>
      </c>
      <c r="W122">
        <v>0</v>
      </c>
      <c r="X122">
        <v>274903907</v>
      </c>
      <c r="Y122">
        <f t="shared" si="55"/>
        <v>2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0</v>
      </c>
      <c r="AP122">
        <v>0</v>
      </c>
      <c r="AQ122">
        <v>1</v>
      </c>
      <c r="AR122">
        <v>0</v>
      </c>
      <c r="AS122" t="s">
        <v>3</v>
      </c>
      <c r="AT122">
        <v>2</v>
      </c>
      <c r="AU122" t="s">
        <v>3</v>
      </c>
      <c r="AV122">
        <v>0</v>
      </c>
      <c r="AW122">
        <v>2</v>
      </c>
      <c r="AX122">
        <v>61636126</v>
      </c>
      <c r="AY122">
        <v>1</v>
      </c>
      <c r="AZ122">
        <v>0</v>
      </c>
      <c r="BA122">
        <v>122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ROUND(Y122*Source!I75,7)</f>
        <v>0</v>
      </c>
      <c r="CY122">
        <f>AA122</f>
        <v>0</v>
      </c>
      <c r="CZ122">
        <f>AE122</f>
        <v>0</v>
      </c>
      <c r="DA122">
        <f>AI122</f>
        <v>1</v>
      </c>
      <c r="DB122">
        <f t="shared" si="56"/>
        <v>0</v>
      </c>
      <c r="DC122">
        <f t="shared" si="57"/>
        <v>0</v>
      </c>
      <c r="DD122" t="s">
        <v>3</v>
      </c>
      <c r="DE122" t="s">
        <v>3</v>
      </c>
      <c r="DF122">
        <f t="shared" ref="DF122:DF127" si="59">ROUND(ROUND(AE122,2)*CX122,2)</f>
        <v>0</v>
      </c>
      <c r="DG122">
        <f t="shared" si="58"/>
        <v>0</v>
      </c>
      <c r="DH122">
        <f t="shared" si="50"/>
        <v>0</v>
      </c>
      <c r="DI122">
        <f t="shared" si="51"/>
        <v>0</v>
      </c>
      <c r="DJ122">
        <f>DF122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ROW(Source!A76)</f>
        <v>76</v>
      </c>
      <c r="B123">
        <v>61635504</v>
      </c>
      <c r="C123">
        <v>61636127</v>
      </c>
      <c r="D123">
        <v>37064878</v>
      </c>
      <c r="E123">
        <v>108</v>
      </c>
      <c r="F123">
        <v>1</v>
      </c>
      <c r="G123">
        <v>1</v>
      </c>
      <c r="H123">
        <v>1</v>
      </c>
      <c r="I123" t="s">
        <v>368</v>
      </c>
      <c r="J123" t="s">
        <v>3</v>
      </c>
      <c r="K123" t="s">
        <v>369</v>
      </c>
      <c r="L123">
        <v>1191</v>
      </c>
      <c r="N123">
        <v>1013</v>
      </c>
      <c r="O123" t="s">
        <v>324</v>
      </c>
      <c r="P123" t="s">
        <v>324</v>
      </c>
      <c r="Q123">
        <v>1</v>
      </c>
      <c r="W123">
        <v>0</v>
      </c>
      <c r="X123">
        <v>-2012709214</v>
      </c>
      <c r="Y123">
        <f t="shared" si="55"/>
        <v>18.5</v>
      </c>
      <c r="AA123">
        <v>0</v>
      </c>
      <c r="AB123">
        <v>0</v>
      </c>
      <c r="AC123">
        <v>0</v>
      </c>
      <c r="AD123">
        <v>425.53</v>
      </c>
      <c r="AE123">
        <v>0</v>
      </c>
      <c r="AF123">
        <v>0</v>
      </c>
      <c r="AG123">
        <v>0</v>
      </c>
      <c r="AH123">
        <v>425.53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0</v>
      </c>
      <c r="AQ123">
        <v>1</v>
      </c>
      <c r="AR123">
        <v>0</v>
      </c>
      <c r="AS123" t="s">
        <v>3</v>
      </c>
      <c r="AT123">
        <v>18.5</v>
      </c>
      <c r="AU123" t="s">
        <v>3</v>
      </c>
      <c r="AV123">
        <v>1</v>
      </c>
      <c r="AW123">
        <v>2</v>
      </c>
      <c r="AX123">
        <v>61636137</v>
      </c>
      <c r="AY123">
        <v>1</v>
      </c>
      <c r="AZ123">
        <v>0</v>
      </c>
      <c r="BA123">
        <v>123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7872.3049999999994</v>
      </c>
      <c r="BN123">
        <v>18.5</v>
      </c>
      <c r="BO123">
        <v>0</v>
      </c>
      <c r="BP123">
        <v>1</v>
      </c>
      <c r="BQ123">
        <v>0</v>
      </c>
      <c r="BR123">
        <v>0</v>
      </c>
      <c r="BS123">
        <v>0</v>
      </c>
      <c r="BT123">
        <v>7872.3049999999994</v>
      </c>
      <c r="BU123">
        <v>18.5</v>
      </c>
      <c r="BV123">
        <v>0</v>
      </c>
      <c r="BW123">
        <v>1</v>
      </c>
      <c r="CU123">
        <f>ROUND(AT123*Source!I76*AH123*AL123,2)</f>
        <v>0</v>
      </c>
      <c r="CV123">
        <f>ROUND(Y123*Source!I76,7)</f>
        <v>0</v>
      </c>
      <c r="CW123">
        <v>0</v>
      </c>
      <c r="CX123">
        <f>ROUND(Y123*Source!I76,7)</f>
        <v>0</v>
      </c>
      <c r="CY123">
        <f>AD123</f>
        <v>425.53</v>
      </c>
      <c r="CZ123">
        <f>AH123</f>
        <v>425.53</v>
      </c>
      <c r="DA123">
        <f>AL123</f>
        <v>1</v>
      </c>
      <c r="DB123">
        <f t="shared" si="56"/>
        <v>7872.31</v>
      </c>
      <c r="DC123">
        <f t="shared" si="57"/>
        <v>0</v>
      </c>
      <c r="DD123" t="s">
        <v>3</v>
      </c>
      <c r="DE123" t="s">
        <v>3</v>
      </c>
      <c r="DF123">
        <f t="shared" si="59"/>
        <v>0</v>
      </c>
      <c r="DG123">
        <f t="shared" si="58"/>
        <v>0</v>
      </c>
      <c r="DH123">
        <f t="shared" si="50"/>
        <v>0</v>
      </c>
      <c r="DI123">
        <f t="shared" si="51"/>
        <v>0</v>
      </c>
      <c r="DJ123">
        <f>DI123</f>
        <v>0</v>
      </c>
      <c r="DK123">
        <v>1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ROW(Source!A76)</f>
        <v>76</v>
      </c>
      <c r="B124">
        <v>61635504</v>
      </c>
      <c r="C124">
        <v>61636127</v>
      </c>
      <c r="D124">
        <v>37064876</v>
      </c>
      <c r="E124">
        <v>108</v>
      </c>
      <c r="F124">
        <v>1</v>
      </c>
      <c r="G124">
        <v>1</v>
      </c>
      <c r="H124">
        <v>1</v>
      </c>
      <c r="I124" t="s">
        <v>322</v>
      </c>
      <c r="J124" t="s">
        <v>3</v>
      </c>
      <c r="K124" t="s">
        <v>323</v>
      </c>
      <c r="L124">
        <v>1191</v>
      </c>
      <c r="N124">
        <v>1013</v>
      </c>
      <c r="O124" t="s">
        <v>324</v>
      </c>
      <c r="P124" t="s">
        <v>324</v>
      </c>
      <c r="Q124">
        <v>1</v>
      </c>
      <c r="W124">
        <v>0</v>
      </c>
      <c r="X124">
        <v>-1417349443</v>
      </c>
      <c r="Y124">
        <f t="shared" si="55"/>
        <v>0.34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0</v>
      </c>
      <c r="AP124">
        <v>0</v>
      </c>
      <c r="AQ124">
        <v>1</v>
      </c>
      <c r="AR124">
        <v>0</v>
      </c>
      <c r="AS124" t="s">
        <v>3</v>
      </c>
      <c r="AT124">
        <v>0.34</v>
      </c>
      <c r="AU124" t="s">
        <v>3</v>
      </c>
      <c r="AV124">
        <v>2</v>
      </c>
      <c r="AW124">
        <v>2</v>
      </c>
      <c r="AX124">
        <v>61636138</v>
      </c>
      <c r="AY124">
        <v>1</v>
      </c>
      <c r="AZ124">
        <v>0</v>
      </c>
      <c r="BA124">
        <v>124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ROUND(Y124*Source!I76,7)</f>
        <v>0</v>
      </c>
      <c r="CY124">
        <f>AD124</f>
        <v>0</v>
      </c>
      <c r="CZ124">
        <f>AH124</f>
        <v>0</v>
      </c>
      <c r="DA124">
        <f>AL124</f>
        <v>1</v>
      </c>
      <c r="DB124">
        <f t="shared" si="56"/>
        <v>0</v>
      </c>
      <c r="DC124">
        <f t="shared" si="57"/>
        <v>0</v>
      </c>
      <c r="DD124" t="s">
        <v>3</v>
      </c>
      <c r="DE124" t="s">
        <v>3</v>
      </c>
      <c r="DF124">
        <f t="shared" si="59"/>
        <v>0</v>
      </c>
      <c r="DG124">
        <f t="shared" si="58"/>
        <v>0</v>
      </c>
      <c r="DH124">
        <f t="shared" si="50"/>
        <v>0</v>
      </c>
      <c r="DI124">
        <f t="shared" si="51"/>
        <v>0</v>
      </c>
      <c r="DJ124">
        <f>DI124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ROW(Source!A76)</f>
        <v>76</v>
      </c>
      <c r="B125">
        <v>61635504</v>
      </c>
      <c r="C125">
        <v>61636127</v>
      </c>
      <c r="D125">
        <v>56571417</v>
      </c>
      <c r="E125">
        <v>1</v>
      </c>
      <c r="F125">
        <v>1</v>
      </c>
      <c r="G125">
        <v>1</v>
      </c>
      <c r="H125">
        <v>2</v>
      </c>
      <c r="I125" t="s">
        <v>325</v>
      </c>
      <c r="J125" t="s">
        <v>326</v>
      </c>
      <c r="K125" t="s">
        <v>327</v>
      </c>
      <c r="L125">
        <v>1368</v>
      </c>
      <c r="N125">
        <v>1011</v>
      </c>
      <c r="O125" t="s">
        <v>194</v>
      </c>
      <c r="P125" t="s">
        <v>194</v>
      </c>
      <c r="Q125">
        <v>1</v>
      </c>
      <c r="W125">
        <v>0</v>
      </c>
      <c r="X125">
        <v>-848025172</v>
      </c>
      <c r="Y125">
        <f t="shared" si="55"/>
        <v>0.17</v>
      </c>
      <c r="AA125">
        <v>0</v>
      </c>
      <c r="AB125">
        <v>1459.82</v>
      </c>
      <c r="AC125">
        <v>584.69000000000005</v>
      </c>
      <c r="AD125">
        <v>0</v>
      </c>
      <c r="AE125">
        <v>0</v>
      </c>
      <c r="AF125">
        <v>1459.82</v>
      </c>
      <c r="AG125">
        <v>584.69000000000005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0</v>
      </c>
      <c r="AQ125">
        <v>1</v>
      </c>
      <c r="AR125">
        <v>0</v>
      </c>
      <c r="AS125" t="s">
        <v>3</v>
      </c>
      <c r="AT125">
        <v>0.17</v>
      </c>
      <c r="AU125" t="s">
        <v>3</v>
      </c>
      <c r="AV125">
        <v>1</v>
      </c>
      <c r="AW125">
        <v>2</v>
      </c>
      <c r="AX125">
        <v>61636139</v>
      </c>
      <c r="AY125">
        <v>1</v>
      </c>
      <c r="AZ125">
        <v>0</v>
      </c>
      <c r="BA125">
        <v>125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248.1694</v>
      </c>
      <c r="BL125">
        <v>99.397300000000016</v>
      </c>
      <c r="BM125">
        <v>0</v>
      </c>
      <c r="BN125">
        <v>0</v>
      </c>
      <c r="BO125">
        <v>0.17</v>
      </c>
      <c r="BP125">
        <v>1</v>
      </c>
      <c r="BQ125">
        <v>0</v>
      </c>
      <c r="BR125">
        <v>248.1694</v>
      </c>
      <c r="BS125">
        <v>99.397300000000016</v>
      </c>
      <c r="BT125">
        <v>0</v>
      </c>
      <c r="BU125">
        <v>0</v>
      </c>
      <c r="BV125">
        <v>0.17</v>
      </c>
      <c r="BW125">
        <v>1</v>
      </c>
      <c r="CV125">
        <v>0</v>
      </c>
      <c r="CW125">
        <f>ROUND(Y125*Source!I76*DO125,7)</f>
        <v>0</v>
      </c>
      <c r="CX125">
        <f>ROUND(Y125*Source!I76,7)</f>
        <v>0</v>
      </c>
      <c r="CY125">
        <f>AB125</f>
        <v>1459.82</v>
      </c>
      <c r="CZ125">
        <f>AF125</f>
        <v>1459.82</v>
      </c>
      <c r="DA125">
        <f>AJ125</f>
        <v>1</v>
      </c>
      <c r="DB125">
        <f t="shared" si="56"/>
        <v>248.17</v>
      </c>
      <c r="DC125">
        <f t="shared" si="57"/>
        <v>99.4</v>
      </c>
      <c r="DD125" t="s">
        <v>3</v>
      </c>
      <c r="DE125" t="s">
        <v>3</v>
      </c>
      <c r="DF125">
        <f t="shared" si="59"/>
        <v>0</v>
      </c>
      <c r="DG125">
        <f t="shared" si="58"/>
        <v>0</v>
      </c>
      <c r="DH125">
        <f t="shared" si="50"/>
        <v>0</v>
      </c>
      <c r="DI125">
        <f t="shared" si="51"/>
        <v>0</v>
      </c>
      <c r="DJ125">
        <f>DG125+DH125</f>
        <v>0</v>
      </c>
      <c r="DK125">
        <v>1</v>
      </c>
      <c r="DL125" t="s">
        <v>328</v>
      </c>
      <c r="DM125">
        <v>6</v>
      </c>
      <c r="DN125" t="s">
        <v>324</v>
      </c>
      <c r="DO125">
        <v>1</v>
      </c>
    </row>
    <row r="126" spans="1:119" x14ac:dyDescent="0.2">
      <c r="A126">
        <f>ROW(Source!A76)</f>
        <v>76</v>
      </c>
      <c r="B126">
        <v>61635504</v>
      </c>
      <c r="C126">
        <v>61636127</v>
      </c>
      <c r="D126">
        <v>56572833</v>
      </c>
      <c r="E126">
        <v>1</v>
      </c>
      <c r="F126">
        <v>1</v>
      </c>
      <c r="G126">
        <v>1</v>
      </c>
      <c r="H126">
        <v>2</v>
      </c>
      <c r="I126" t="s">
        <v>336</v>
      </c>
      <c r="J126" t="s">
        <v>337</v>
      </c>
      <c r="K126" t="s">
        <v>338</v>
      </c>
      <c r="L126">
        <v>1368</v>
      </c>
      <c r="N126">
        <v>1011</v>
      </c>
      <c r="O126" t="s">
        <v>194</v>
      </c>
      <c r="P126" t="s">
        <v>194</v>
      </c>
      <c r="Q126">
        <v>1</v>
      </c>
      <c r="W126">
        <v>0</v>
      </c>
      <c r="X126">
        <v>1230426758</v>
      </c>
      <c r="Y126">
        <f t="shared" si="55"/>
        <v>0.17</v>
      </c>
      <c r="AA126">
        <v>0</v>
      </c>
      <c r="AB126">
        <v>568.72</v>
      </c>
      <c r="AC126">
        <v>435.27</v>
      </c>
      <c r="AD126">
        <v>0</v>
      </c>
      <c r="AE126">
        <v>0</v>
      </c>
      <c r="AF126">
        <v>477.92</v>
      </c>
      <c r="AG126">
        <v>435.27</v>
      </c>
      <c r="AH126">
        <v>0</v>
      </c>
      <c r="AI126">
        <v>1</v>
      </c>
      <c r="AJ126">
        <v>1.19</v>
      </c>
      <c r="AK126">
        <v>1</v>
      </c>
      <c r="AL126">
        <v>1</v>
      </c>
      <c r="AM126">
        <v>2</v>
      </c>
      <c r="AN126">
        <v>0</v>
      </c>
      <c r="AO126">
        <v>0</v>
      </c>
      <c r="AP126">
        <v>0</v>
      </c>
      <c r="AQ126">
        <v>1</v>
      </c>
      <c r="AR126">
        <v>0</v>
      </c>
      <c r="AS126" t="s">
        <v>3</v>
      </c>
      <c r="AT126">
        <v>0.17</v>
      </c>
      <c r="AU126" t="s">
        <v>3</v>
      </c>
      <c r="AV126">
        <v>1</v>
      </c>
      <c r="AW126">
        <v>2</v>
      </c>
      <c r="AX126">
        <v>61636140</v>
      </c>
      <c r="AY126">
        <v>1</v>
      </c>
      <c r="AZ126">
        <v>0</v>
      </c>
      <c r="BA126">
        <v>126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81.246400000000008</v>
      </c>
      <c r="BL126">
        <v>73.995900000000006</v>
      </c>
      <c r="BM126">
        <v>0</v>
      </c>
      <c r="BN126">
        <v>0</v>
      </c>
      <c r="BO126">
        <v>0.17</v>
      </c>
      <c r="BP126">
        <v>1</v>
      </c>
      <c r="BQ126">
        <v>0</v>
      </c>
      <c r="BR126">
        <v>81.246400000000008</v>
      </c>
      <c r="BS126">
        <v>73.995900000000006</v>
      </c>
      <c r="BT126">
        <v>0</v>
      </c>
      <c r="BU126">
        <v>0</v>
      </c>
      <c r="BV126">
        <v>0.17</v>
      </c>
      <c r="BW126">
        <v>1</v>
      </c>
      <c r="CV126">
        <v>0</v>
      </c>
      <c r="CW126">
        <f>ROUND(Y126*Source!I76*DO126,7)</f>
        <v>0</v>
      </c>
      <c r="CX126">
        <f>ROUND(Y126*Source!I76,7)</f>
        <v>0</v>
      </c>
      <c r="CY126">
        <f>AB126</f>
        <v>568.72</v>
      </c>
      <c r="CZ126">
        <f>AF126</f>
        <v>477.92</v>
      </c>
      <c r="DA126">
        <f>AJ126</f>
        <v>1.19</v>
      </c>
      <c r="DB126">
        <f t="shared" si="56"/>
        <v>81.25</v>
      </c>
      <c r="DC126">
        <f t="shared" si="57"/>
        <v>74</v>
      </c>
      <c r="DD126" t="s">
        <v>3</v>
      </c>
      <c r="DE126" t="s">
        <v>3</v>
      </c>
      <c r="DF126">
        <f t="shared" si="59"/>
        <v>0</v>
      </c>
      <c r="DG126">
        <f>ROUND(ROUND(AF126*AJ126,2)*CX126,2)</f>
        <v>0</v>
      </c>
      <c r="DH126">
        <f t="shared" si="50"/>
        <v>0</v>
      </c>
      <c r="DI126">
        <f t="shared" si="51"/>
        <v>0</v>
      </c>
      <c r="DJ126">
        <f>DG126+DH126</f>
        <v>0</v>
      </c>
      <c r="DK126">
        <v>1</v>
      </c>
      <c r="DL126" t="s">
        <v>335</v>
      </c>
      <c r="DM126">
        <v>4</v>
      </c>
      <c r="DN126" t="s">
        <v>324</v>
      </c>
      <c r="DO126">
        <v>1</v>
      </c>
    </row>
    <row r="127" spans="1:119" x14ac:dyDescent="0.2">
      <c r="A127">
        <f>ROW(Source!A76)</f>
        <v>76</v>
      </c>
      <c r="B127">
        <v>61635504</v>
      </c>
      <c r="C127">
        <v>61636127</v>
      </c>
      <c r="D127">
        <v>56573153</v>
      </c>
      <c r="E127">
        <v>1</v>
      </c>
      <c r="F127">
        <v>1</v>
      </c>
      <c r="G127">
        <v>1</v>
      </c>
      <c r="H127">
        <v>2</v>
      </c>
      <c r="I127" t="s">
        <v>350</v>
      </c>
      <c r="J127" t="s">
        <v>351</v>
      </c>
      <c r="K127" t="s">
        <v>352</v>
      </c>
      <c r="L127">
        <v>1368</v>
      </c>
      <c r="N127">
        <v>1011</v>
      </c>
      <c r="O127" t="s">
        <v>194</v>
      </c>
      <c r="P127" t="s">
        <v>194</v>
      </c>
      <c r="Q127">
        <v>1</v>
      </c>
      <c r="W127">
        <v>0</v>
      </c>
      <c r="X127">
        <v>1280601743</v>
      </c>
      <c r="Y127">
        <f t="shared" si="55"/>
        <v>2.9</v>
      </c>
      <c r="AA127">
        <v>0</v>
      </c>
      <c r="AB127">
        <v>25.86</v>
      </c>
      <c r="AC127">
        <v>0</v>
      </c>
      <c r="AD127">
        <v>0</v>
      </c>
      <c r="AE127">
        <v>0</v>
      </c>
      <c r="AF127">
        <v>25.86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0</v>
      </c>
      <c r="AQ127">
        <v>1</v>
      </c>
      <c r="AR127">
        <v>0</v>
      </c>
      <c r="AS127" t="s">
        <v>3</v>
      </c>
      <c r="AT127">
        <v>2.9</v>
      </c>
      <c r="AU127" t="s">
        <v>3</v>
      </c>
      <c r="AV127">
        <v>1</v>
      </c>
      <c r="AW127">
        <v>2</v>
      </c>
      <c r="AX127">
        <v>61636141</v>
      </c>
      <c r="AY127">
        <v>1</v>
      </c>
      <c r="AZ127">
        <v>0</v>
      </c>
      <c r="BA127">
        <v>127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74.994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</v>
      </c>
      <c r="BR127">
        <v>74.994</v>
      </c>
      <c r="BS127">
        <v>0</v>
      </c>
      <c r="BT127">
        <v>0</v>
      </c>
      <c r="BU127">
        <v>0</v>
      </c>
      <c r="BV127">
        <v>0</v>
      </c>
      <c r="BW127">
        <v>1</v>
      </c>
      <c r="CV127">
        <v>0</v>
      </c>
      <c r="CW127">
        <f>ROUND(Y127*Source!I76*DO127,7)</f>
        <v>0</v>
      </c>
      <c r="CX127">
        <f>ROUND(Y127*Source!I76,7)</f>
        <v>0</v>
      </c>
      <c r="CY127">
        <f>AB127</f>
        <v>25.86</v>
      </c>
      <c r="CZ127">
        <f>AF127</f>
        <v>25.86</v>
      </c>
      <c r="DA127">
        <f>AJ127</f>
        <v>1</v>
      </c>
      <c r="DB127">
        <f t="shared" si="56"/>
        <v>74.989999999999995</v>
      </c>
      <c r="DC127">
        <f t="shared" si="57"/>
        <v>0</v>
      </c>
      <c r="DD127" t="s">
        <v>3</v>
      </c>
      <c r="DE127" t="s">
        <v>3</v>
      </c>
      <c r="DF127">
        <f t="shared" si="59"/>
        <v>0</v>
      </c>
      <c r="DG127">
        <f t="shared" ref="DG127:DG136" si="60">ROUND(ROUND(AF127,2)*CX127,2)</f>
        <v>0</v>
      </c>
      <c r="DH127">
        <f t="shared" si="50"/>
        <v>0</v>
      </c>
      <c r="DI127">
        <f t="shared" si="51"/>
        <v>0</v>
      </c>
      <c r="DJ127">
        <f>DG127+DH127</f>
        <v>0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ROW(Source!A76)</f>
        <v>76</v>
      </c>
      <c r="B128">
        <v>61635504</v>
      </c>
      <c r="C128">
        <v>61636127</v>
      </c>
      <c r="D128">
        <v>56579266</v>
      </c>
      <c r="E128">
        <v>1</v>
      </c>
      <c r="F128">
        <v>1</v>
      </c>
      <c r="G128">
        <v>1</v>
      </c>
      <c r="H128">
        <v>3</v>
      </c>
      <c r="I128" t="s">
        <v>374</v>
      </c>
      <c r="J128" t="s">
        <v>375</v>
      </c>
      <c r="K128" t="s">
        <v>376</v>
      </c>
      <c r="L128">
        <v>1346</v>
      </c>
      <c r="N128">
        <v>1009</v>
      </c>
      <c r="O128" t="s">
        <v>176</v>
      </c>
      <c r="P128" t="s">
        <v>176</v>
      </c>
      <c r="Q128">
        <v>1</v>
      </c>
      <c r="W128">
        <v>0</v>
      </c>
      <c r="X128">
        <v>-1545686836</v>
      </c>
      <c r="Y128">
        <f t="shared" si="55"/>
        <v>0.9</v>
      </c>
      <c r="AA128">
        <v>147.85</v>
      </c>
      <c r="AB128">
        <v>0</v>
      </c>
      <c r="AC128">
        <v>0</v>
      </c>
      <c r="AD128">
        <v>0</v>
      </c>
      <c r="AE128">
        <v>155.63</v>
      </c>
      <c r="AF128">
        <v>0</v>
      </c>
      <c r="AG128">
        <v>0</v>
      </c>
      <c r="AH128">
        <v>0</v>
      </c>
      <c r="AI128">
        <v>0.95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0</v>
      </c>
      <c r="AP128">
        <v>0</v>
      </c>
      <c r="AQ128">
        <v>1</v>
      </c>
      <c r="AR128">
        <v>0</v>
      </c>
      <c r="AS128" t="s">
        <v>3</v>
      </c>
      <c r="AT128">
        <v>0.9</v>
      </c>
      <c r="AU128" t="s">
        <v>3</v>
      </c>
      <c r="AV128">
        <v>0</v>
      </c>
      <c r="AW128">
        <v>2</v>
      </c>
      <c r="AX128">
        <v>61636142</v>
      </c>
      <c r="AY128">
        <v>1</v>
      </c>
      <c r="AZ128">
        <v>0</v>
      </c>
      <c r="BA128">
        <v>128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140.06700000000001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1</v>
      </c>
      <c r="BQ128">
        <v>140.06700000000001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1</v>
      </c>
      <c r="CV128">
        <v>0</v>
      </c>
      <c r="CW128">
        <v>0</v>
      </c>
      <c r="CX128">
        <f>ROUND(Y128*Source!I76,7)</f>
        <v>0</v>
      </c>
      <c r="CY128">
        <f>AA128</f>
        <v>147.85</v>
      </c>
      <c r="CZ128">
        <f>AE128</f>
        <v>155.63</v>
      </c>
      <c r="DA128">
        <f>AI128</f>
        <v>0.95</v>
      </c>
      <c r="DB128">
        <f t="shared" si="56"/>
        <v>140.07</v>
      </c>
      <c r="DC128">
        <f t="shared" si="57"/>
        <v>0</v>
      </c>
      <c r="DD128" t="s">
        <v>3</v>
      </c>
      <c r="DE128" t="s">
        <v>3</v>
      </c>
      <c r="DF128">
        <f>ROUND(ROUND(AE128*AI128,2)*CX128,2)</f>
        <v>0</v>
      </c>
      <c r="DG128">
        <f t="shared" si="60"/>
        <v>0</v>
      </c>
      <c r="DH128">
        <f t="shared" si="50"/>
        <v>0</v>
      </c>
      <c r="DI128">
        <f t="shared" si="51"/>
        <v>0</v>
      </c>
      <c r="DJ128">
        <f>DF128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ROW(Source!A76)</f>
        <v>76</v>
      </c>
      <c r="B129">
        <v>61635504</v>
      </c>
      <c r="C129">
        <v>61636127</v>
      </c>
      <c r="D129">
        <v>56592692</v>
      </c>
      <c r="E129">
        <v>1</v>
      </c>
      <c r="F129">
        <v>1</v>
      </c>
      <c r="G129">
        <v>1</v>
      </c>
      <c r="H129">
        <v>3</v>
      </c>
      <c r="I129" t="s">
        <v>449</v>
      </c>
      <c r="J129" t="s">
        <v>450</v>
      </c>
      <c r="K129" t="s">
        <v>451</v>
      </c>
      <c r="L129">
        <v>1348</v>
      </c>
      <c r="N129">
        <v>1009</v>
      </c>
      <c r="O129" t="s">
        <v>356</v>
      </c>
      <c r="P129" t="s">
        <v>356</v>
      </c>
      <c r="Q129">
        <v>1000</v>
      </c>
      <c r="W129">
        <v>0</v>
      </c>
      <c r="X129">
        <v>-994423950</v>
      </c>
      <c r="Y129">
        <f t="shared" si="55"/>
        <v>4.0000000000000001E-3</v>
      </c>
      <c r="AA129">
        <v>63307.040000000001</v>
      </c>
      <c r="AB129">
        <v>0</v>
      </c>
      <c r="AC129">
        <v>0</v>
      </c>
      <c r="AD129">
        <v>0</v>
      </c>
      <c r="AE129">
        <v>71131.5</v>
      </c>
      <c r="AF129">
        <v>0</v>
      </c>
      <c r="AG129">
        <v>0</v>
      </c>
      <c r="AH129">
        <v>0</v>
      </c>
      <c r="AI129">
        <v>0.89</v>
      </c>
      <c r="AJ129">
        <v>1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0</v>
      </c>
      <c r="AQ129">
        <v>1</v>
      </c>
      <c r="AR129">
        <v>0</v>
      </c>
      <c r="AS129" t="s">
        <v>3</v>
      </c>
      <c r="AT129">
        <v>4.0000000000000001E-3</v>
      </c>
      <c r="AU129" t="s">
        <v>3</v>
      </c>
      <c r="AV129">
        <v>0</v>
      </c>
      <c r="AW129">
        <v>2</v>
      </c>
      <c r="AX129">
        <v>61636143</v>
      </c>
      <c r="AY129">
        <v>1</v>
      </c>
      <c r="AZ129">
        <v>0</v>
      </c>
      <c r="BA129">
        <v>129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284.52600000000001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1</v>
      </c>
      <c r="BQ129">
        <v>284.52600000000001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1</v>
      </c>
      <c r="CV129">
        <v>0</v>
      </c>
      <c r="CW129">
        <v>0</v>
      </c>
      <c r="CX129">
        <f>ROUND(Y129*Source!I76,7)</f>
        <v>0</v>
      </c>
      <c r="CY129">
        <f>AA129</f>
        <v>63307.040000000001</v>
      </c>
      <c r="CZ129">
        <f>AE129</f>
        <v>71131.5</v>
      </c>
      <c r="DA129">
        <f>AI129</f>
        <v>0.89</v>
      </c>
      <c r="DB129">
        <f t="shared" si="56"/>
        <v>284.52999999999997</v>
      </c>
      <c r="DC129">
        <f t="shared" si="57"/>
        <v>0</v>
      </c>
      <c r="DD129" t="s">
        <v>3</v>
      </c>
      <c r="DE129" t="s">
        <v>3</v>
      </c>
      <c r="DF129">
        <f>ROUND(ROUND(AE129*AI129,2)*CX129,2)</f>
        <v>0</v>
      </c>
      <c r="DG129">
        <f t="shared" si="60"/>
        <v>0</v>
      </c>
      <c r="DH129">
        <f t="shared" ref="DH129:DH136" si="61">ROUND(ROUND(AG129,2)*CX129,2)</f>
        <v>0</v>
      </c>
      <c r="DI129">
        <f t="shared" ref="DI129:DI136" si="62">ROUND(ROUND(AH129,2)*CX129,2)</f>
        <v>0</v>
      </c>
      <c r="DJ129">
        <f>DF129</f>
        <v>0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ROW(Source!A76)</f>
        <v>76</v>
      </c>
      <c r="B130">
        <v>61635504</v>
      </c>
      <c r="C130">
        <v>61636127</v>
      </c>
      <c r="D130">
        <v>56609983</v>
      </c>
      <c r="E130">
        <v>1</v>
      </c>
      <c r="F130">
        <v>1</v>
      </c>
      <c r="G130">
        <v>1</v>
      </c>
      <c r="H130">
        <v>3</v>
      </c>
      <c r="I130" t="s">
        <v>446</v>
      </c>
      <c r="J130" t="s">
        <v>447</v>
      </c>
      <c r="K130" t="s">
        <v>448</v>
      </c>
      <c r="L130">
        <v>1346</v>
      </c>
      <c r="N130">
        <v>1009</v>
      </c>
      <c r="O130" t="s">
        <v>176</v>
      </c>
      <c r="P130" t="s">
        <v>176</v>
      </c>
      <c r="Q130">
        <v>1</v>
      </c>
      <c r="W130">
        <v>0</v>
      </c>
      <c r="X130">
        <v>4985900</v>
      </c>
      <c r="Y130">
        <f t="shared" si="55"/>
        <v>2.4</v>
      </c>
      <c r="AA130">
        <v>1048.29</v>
      </c>
      <c r="AB130">
        <v>0</v>
      </c>
      <c r="AC130">
        <v>0</v>
      </c>
      <c r="AD130">
        <v>0</v>
      </c>
      <c r="AE130">
        <v>911.56</v>
      </c>
      <c r="AF130">
        <v>0</v>
      </c>
      <c r="AG130">
        <v>0</v>
      </c>
      <c r="AH130">
        <v>0</v>
      </c>
      <c r="AI130">
        <v>1.1499999999999999</v>
      </c>
      <c r="AJ130">
        <v>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0</v>
      </c>
      <c r="AQ130">
        <v>1</v>
      </c>
      <c r="AR130">
        <v>0</v>
      </c>
      <c r="AS130" t="s">
        <v>3</v>
      </c>
      <c r="AT130">
        <v>2.4</v>
      </c>
      <c r="AU130" t="s">
        <v>3</v>
      </c>
      <c r="AV130">
        <v>0</v>
      </c>
      <c r="AW130">
        <v>2</v>
      </c>
      <c r="AX130">
        <v>61636144</v>
      </c>
      <c r="AY130">
        <v>1</v>
      </c>
      <c r="AZ130">
        <v>0</v>
      </c>
      <c r="BA130">
        <v>130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2187.7439999999997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1</v>
      </c>
      <c r="BQ130">
        <v>2187.7439999999997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</v>
      </c>
      <c r="CV130">
        <v>0</v>
      </c>
      <c r="CW130">
        <v>0</v>
      </c>
      <c r="CX130">
        <f>ROUND(Y130*Source!I76,7)</f>
        <v>0</v>
      </c>
      <c r="CY130">
        <f>AA130</f>
        <v>1048.29</v>
      </c>
      <c r="CZ130">
        <f>AE130</f>
        <v>911.56</v>
      </c>
      <c r="DA130">
        <f>AI130</f>
        <v>1.1499999999999999</v>
      </c>
      <c r="DB130">
        <f t="shared" si="56"/>
        <v>2187.7399999999998</v>
      </c>
      <c r="DC130">
        <f t="shared" si="57"/>
        <v>0</v>
      </c>
      <c r="DD130" t="s">
        <v>3</v>
      </c>
      <c r="DE130" t="s">
        <v>3</v>
      </c>
      <c r="DF130">
        <f>ROUND(ROUND(AE130*AI130,2)*CX130,2)</f>
        <v>0</v>
      </c>
      <c r="DG130">
        <f t="shared" si="60"/>
        <v>0</v>
      </c>
      <c r="DH130">
        <f t="shared" si="61"/>
        <v>0</v>
      </c>
      <c r="DI130">
        <f t="shared" si="62"/>
        <v>0</v>
      </c>
      <c r="DJ130">
        <f>DF130</f>
        <v>0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ROW(Source!A76)</f>
        <v>76</v>
      </c>
      <c r="B131">
        <v>61635504</v>
      </c>
      <c r="C131">
        <v>61636127</v>
      </c>
      <c r="D131">
        <v>56223463</v>
      </c>
      <c r="E131">
        <v>108</v>
      </c>
      <c r="F131">
        <v>1</v>
      </c>
      <c r="G131">
        <v>1</v>
      </c>
      <c r="H131">
        <v>3</v>
      </c>
      <c r="I131" t="s">
        <v>363</v>
      </c>
      <c r="J131" t="s">
        <v>3</v>
      </c>
      <c r="K131" t="s">
        <v>364</v>
      </c>
      <c r="L131">
        <v>3277935</v>
      </c>
      <c r="N131">
        <v>1013</v>
      </c>
      <c r="O131" t="s">
        <v>365</v>
      </c>
      <c r="P131" t="s">
        <v>365</v>
      </c>
      <c r="Q131">
        <v>1</v>
      </c>
      <c r="W131">
        <v>0</v>
      </c>
      <c r="X131">
        <v>274903907</v>
      </c>
      <c r="Y131">
        <f t="shared" si="55"/>
        <v>2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0</v>
      </c>
      <c r="AP131">
        <v>0</v>
      </c>
      <c r="AQ131">
        <v>1</v>
      </c>
      <c r="AR131">
        <v>0</v>
      </c>
      <c r="AS131" t="s">
        <v>3</v>
      </c>
      <c r="AT131">
        <v>2</v>
      </c>
      <c r="AU131" t="s">
        <v>3</v>
      </c>
      <c r="AV131">
        <v>0</v>
      </c>
      <c r="AW131">
        <v>2</v>
      </c>
      <c r="AX131">
        <v>61636145</v>
      </c>
      <c r="AY131">
        <v>1</v>
      </c>
      <c r="AZ131">
        <v>0</v>
      </c>
      <c r="BA131">
        <v>131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ROUND(Y131*Source!I76,7)</f>
        <v>0</v>
      </c>
      <c r="CY131">
        <f>AA131</f>
        <v>0</v>
      </c>
      <c r="CZ131">
        <f>AE131</f>
        <v>0</v>
      </c>
      <c r="DA131">
        <f>AI131</f>
        <v>1</v>
      </c>
      <c r="DB131">
        <f t="shared" si="56"/>
        <v>0</v>
      </c>
      <c r="DC131">
        <f t="shared" si="57"/>
        <v>0</v>
      </c>
      <c r="DD131" t="s">
        <v>3</v>
      </c>
      <c r="DE131" t="s">
        <v>3</v>
      </c>
      <c r="DF131">
        <f t="shared" ref="DF131:DF136" si="63">ROUND(ROUND(AE131,2)*CX131,2)</f>
        <v>0</v>
      </c>
      <c r="DG131">
        <f t="shared" si="60"/>
        <v>0</v>
      </c>
      <c r="DH131">
        <f t="shared" si="61"/>
        <v>0</v>
      </c>
      <c r="DI131">
        <f t="shared" si="62"/>
        <v>0</v>
      </c>
      <c r="DJ131">
        <f>DF131</f>
        <v>0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ROW(Source!A153)</f>
        <v>153</v>
      </c>
      <c r="B132">
        <v>61635504</v>
      </c>
      <c r="C132">
        <v>61636634</v>
      </c>
      <c r="D132">
        <v>60457970</v>
      </c>
      <c r="E132">
        <v>110</v>
      </c>
      <c r="F132">
        <v>1</v>
      </c>
      <c r="G132">
        <v>1</v>
      </c>
      <c r="H132">
        <v>1</v>
      </c>
      <c r="I132" t="s">
        <v>452</v>
      </c>
      <c r="J132" t="s">
        <v>3</v>
      </c>
      <c r="K132" t="s">
        <v>453</v>
      </c>
      <c r="L132">
        <v>1191</v>
      </c>
      <c r="N132">
        <v>1013</v>
      </c>
      <c r="O132" t="s">
        <v>324</v>
      </c>
      <c r="P132" t="s">
        <v>324</v>
      </c>
      <c r="Q132">
        <v>1</v>
      </c>
      <c r="W132">
        <v>0</v>
      </c>
      <c r="X132">
        <v>-961628416</v>
      </c>
      <c r="Y132">
        <f t="shared" si="55"/>
        <v>2.19</v>
      </c>
      <c r="AA132">
        <v>0</v>
      </c>
      <c r="AB132">
        <v>0</v>
      </c>
      <c r="AC132">
        <v>0</v>
      </c>
      <c r="AD132">
        <v>383.3</v>
      </c>
      <c r="AE132">
        <v>0</v>
      </c>
      <c r="AF132">
        <v>0</v>
      </c>
      <c r="AG132">
        <v>0</v>
      </c>
      <c r="AH132">
        <v>383.3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2.19</v>
      </c>
      <c r="AU132" t="s">
        <v>3</v>
      </c>
      <c r="AV132">
        <v>1</v>
      </c>
      <c r="AW132">
        <v>2</v>
      </c>
      <c r="AX132">
        <v>61636641</v>
      </c>
      <c r="AY132">
        <v>1</v>
      </c>
      <c r="AZ132">
        <v>0</v>
      </c>
      <c r="BA132">
        <v>132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839.42700000000002</v>
      </c>
      <c r="BN132">
        <v>2.19</v>
      </c>
      <c r="BO132">
        <v>0</v>
      </c>
      <c r="BP132">
        <v>1</v>
      </c>
      <c r="BQ132">
        <v>0</v>
      </c>
      <c r="BR132">
        <v>0</v>
      </c>
      <c r="BS132">
        <v>0</v>
      </c>
      <c r="BT132">
        <v>839.42700000000002</v>
      </c>
      <c r="BU132">
        <v>2.19</v>
      </c>
      <c r="BV132">
        <v>0</v>
      </c>
      <c r="BW132">
        <v>1</v>
      </c>
      <c r="CU132">
        <f>ROUND(AT132*Source!I153*AH132*AL132,2)</f>
        <v>16788.54</v>
      </c>
      <c r="CV132">
        <f>ROUND(Y132*Source!I153,7)</f>
        <v>43.8</v>
      </c>
      <c r="CW132">
        <v>0</v>
      </c>
      <c r="CX132">
        <f>ROUND(Y132*Source!I153,7)</f>
        <v>43.8</v>
      </c>
      <c r="CY132">
        <f>AD132</f>
        <v>383.3</v>
      </c>
      <c r="CZ132">
        <f>AH132</f>
        <v>383.3</v>
      </c>
      <c r="DA132">
        <f>AL132</f>
        <v>1</v>
      </c>
      <c r="DB132">
        <f t="shared" si="56"/>
        <v>839.43</v>
      </c>
      <c r="DC132">
        <f t="shared" si="57"/>
        <v>0</v>
      </c>
      <c r="DD132" t="s">
        <v>3</v>
      </c>
      <c r="DE132" t="s">
        <v>3</v>
      </c>
      <c r="DF132">
        <f t="shared" si="63"/>
        <v>0</v>
      </c>
      <c r="DG132">
        <f t="shared" si="60"/>
        <v>0</v>
      </c>
      <c r="DH132">
        <f t="shared" si="61"/>
        <v>0</v>
      </c>
      <c r="DI132">
        <f t="shared" si="62"/>
        <v>16788.54</v>
      </c>
      <c r="DJ132">
        <f>DI132</f>
        <v>16788.54</v>
      </c>
      <c r="DK132">
        <v>1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ROW(Source!A193)</f>
        <v>193</v>
      </c>
      <c r="B133">
        <v>61635504</v>
      </c>
      <c r="C133">
        <v>61636275</v>
      </c>
      <c r="D133">
        <v>56217421</v>
      </c>
      <c r="E133">
        <v>108</v>
      </c>
      <c r="F133">
        <v>1</v>
      </c>
      <c r="G133">
        <v>1</v>
      </c>
      <c r="H133">
        <v>1</v>
      </c>
      <c r="I133" t="s">
        <v>454</v>
      </c>
      <c r="J133" t="s">
        <v>3</v>
      </c>
      <c r="K133" t="s">
        <v>455</v>
      </c>
      <c r="L133">
        <v>1369</v>
      </c>
      <c r="N133">
        <v>1013</v>
      </c>
      <c r="O133" t="s">
        <v>315</v>
      </c>
      <c r="P133" t="s">
        <v>315</v>
      </c>
      <c r="Q133">
        <v>1</v>
      </c>
      <c r="W133">
        <v>0</v>
      </c>
      <c r="X133">
        <v>286205319</v>
      </c>
      <c r="Y133">
        <f t="shared" si="55"/>
        <v>0.41</v>
      </c>
      <c r="AA133">
        <v>0</v>
      </c>
      <c r="AB133">
        <v>0</v>
      </c>
      <c r="AC133">
        <v>0</v>
      </c>
      <c r="AD133">
        <v>584.69000000000005</v>
      </c>
      <c r="AE133">
        <v>0</v>
      </c>
      <c r="AF133">
        <v>0</v>
      </c>
      <c r="AG133">
        <v>0</v>
      </c>
      <c r="AH133">
        <v>584.69000000000005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0</v>
      </c>
      <c r="AP133">
        <v>0</v>
      </c>
      <c r="AQ133">
        <v>1</v>
      </c>
      <c r="AR133">
        <v>0</v>
      </c>
      <c r="AS133" t="s">
        <v>3</v>
      </c>
      <c r="AT133">
        <v>0.41</v>
      </c>
      <c r="AU133" t="s">
        <v>3</v>
      </c>
      <c r="AV133">
        <v>1</v>
      </c>
      <c r="AW133">
        <v>2</v>
      </c>
      <c r="AX133">
        <v>61636278</v>
      </c>
      <c r="AY133">
        <v>1</v>
      </c>
      <c r="AZ133">
        <v>0</v>
      </c>
      <c r="BA133">
        <v>133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239.72290000000001</v>
      </c>
      <c r="BN133">
        <v>0.41</v>
      </c>
      <c r="BO133">
        <v>0</v>
      </c>
      <c r="BP133">
        <v>1</v>
      </c>
      <c r="BQ133">
        <v>0</v>
      </c>
      <c r="BR133">
        <v>0</v>
      </c>
      <c r="BS133">
        <v>0</v>
      </c>
      <c r="BT133">
        <v>239.72290000000001</v>
      </c>
      <c r="BU133">
        <v>0.41</v>
      </c>
      <c r="BV133">
        <v>0</v>
      </c>
      <c r="BW133">
        <v>1</v>
      </c>
      <c r="CU133">
        <f>ROUND(AT133*Source!I193*AH133*AL133,2)</f>
        <v>958.89</v>
      </c>
      <c r="CV133">
        <f>ROUND(Y133*Source!I193,7)</f>
        <v>1.64</v>
      </c>
      <c r="CW133">
        <v>0</v>
      </c>
      <c r="CX133">
        <f>ROUND(Y133*Source!I193,7)</f>
        <v>1.64</v>
      </c>
      <c r="CY133">
        <f>AD133</f>
        <v>584.69000000000005</v>
      </c>
      <c r="CZ133">
        <f>AH133</f>
        <v>584.69000000000005</v>
      </c>
      <c r="DA133">
        <f>AL133</f>
        <v>1</v>
      </c>
      <c r="DB133">
        <f t="shared" si="56"/>
        <v>239.72</v>
      </c>
      <c r="DC133">
        <f t="shared" si="57"/>
        <v>0</v>
      </c>
      <c r="DD133" t="s">
        <v>3</v>
      </c>
      <c r="DE133" t="s">
        <v>3</v>
      </c>
      <c r="DF133">
        <f t="shared" si="63"/>
        <v>0</v>
      </c>
      <c r="DG133">
        <f t="shared" si="60"/>
        <v>0</v>
      </c>
      <c r="DH133">
        <f t="shared" si="61"/>
        <v>0</v>
      </c>
      <c r="DI133">
        <f t="shared" si="62"/>
        <v>958.89</v>
      </c>
      <c r="DJ133">
        <f>DI133</f>
        <v>958.89</v>
      </c>
      <c r="DK133">
        <v>1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ROW(Source!A193)</f>
        <v>193</v>
      </c>
      <c r="B134">
        <v>61635504</v>
      </c>
      <c r="C134">
        <v>61636275</v>
      </c>
      <c r="D134">
        <v>56217452</v>
      </c>
      <c r="E134">
        <v>108</v>
      </c>
      <c r="F134">
        <v>1</v>
      </c>
      <c r="G134">
        <v>1</v>
      </c>
      <c r="H134">
        <v>1</v>
      </c>
      <c r="I134" t="s">
        <v>456</v>
      </c>
      <c r="J134" t="s">
        <v>3</v>
      </c>
      <c r="K134" t="s">
        <v>457</v>
      </c>
      <c r="L134">
        <v>1369</v>
      </c>
      <c r="N134">
        <v>1013</v>
      </c>
      <c r="O134" t="s">
        <v>315</v>
      </c>
      <c r="P134" t="s">
        <v>315</v>
      </c>
      <c r="Q134">
        <v>1</v>
      </c>
      <c r="W134">
        <v>0</v>
      </c>
      <c r="X134">
        <v>126826561</v>
      </c>
      <c r="Y134">
        <f t="shared" si="55"/>
        <v>0.41</v>
      </c>
      <c r="AA134">
        <v>0</v>
      </c>
      <c r="AB134">
        <v>0</v>
      </c>
      <c r="AC134">
        <v>0</v>
      </c>
      <c r="AD134">
        <v>571.70000000000005</v>
      </c>
      <c r="AE134">
        <v>0</v>
      </c>
      <c r="AF134">
        <v>0</v>
      </c>
      <c r="AG134">
        <v>0</v>
      </c>
      <c r="AH134">
        <v>571.70000000000005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1</v>
      </c>
      <c r="AR134">
        <v>0</v>
      </c>
      <c r="AS134" t="s">
        <v>3</v>
      </c>
      <c r="AT134">
        <v>0.41</v>
      </c>
      <c r="AU134" t="s">
        <v>3</v>
      </c>
      <c r="AV134">
        <v>1</v>
      </c>
      <c r="AW134">
        <v>2</v>
      </c>
      <c r="AX134">
        <v>61636279</v>
      </c>
      <c r="AY134">
        <v>1</v>
      </c>
      <c r="AZ134">
        <v>0</v>
      </c>
      <c r="BA134">
        <v>134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234.39699999999999</v>
      </c>
      <c r="BN134">
        <v>0.41</v>
      </c>
      <c r="BO134">
        <v>0</v>
      </c>
      <c r="BP134">
        <v>1</v>
      </c>
      <c r="BQ134">
        <v>0</v>
      </c>
      <c r="BR134">
        <v>0</v>
      </c>
      <c r="BS134">
        <v>0</v>
      </c>
      <c r="BT134">
        <v>234.39699999999999</v>
      </c>
      <c r="BU134">
        <v>0.41</v>
      </c>
      <c r="BV134">
        <v>0</v>
      </c>
      <c r="BW134">
        <v>1</v>
      </c>
      <c r="CU134">
        <f>ROUND(AT134*Source!I193*AH134*AL134,2)</f>
        <v>937.59</v>
      </c>
      <c r="CV134">
        <f>ROUND(Y134*Source!I193,7)</f>
        <v>1.64</v>
      </c>
      <c r="CW134">
        <v>0</v>
      </c>
      <c r="CX134">
        <f>ROUND(Y134*Source!I193,7)</f>
        <v>1.64</v>
      </c>
      <c r="CY134">
        <f>AD134</f>
        <v>571.70000000000005</v>
      </c>
      <c r="CZ134">
        <f>AH134</f>
        <v>571.70000000000005</v>
      </c>
      <c r="DA134">
        <f>AL134</f>
        <v>1</v>
      </c>
      <c r="DB134">
        <f t="shared" si="56"/>
        <v>234.4</v>
      </c>
      <c r="DC134">
        <f t="shared" si="57"/>
        <v>0</v>
      </c>
      <c r="DD134" t="s">
        <v>3</v>
      </c>
      <c r="DE134" t="s">
        <v>3</v>
      </c>
      <c r="DF134">
        <f t="shared" si="63"/>
        <v>0</v>
      </c>
      <c r="DG134">
        <f t="shared" si="60"/>
        <v>0</v>
      </c>
      <c r="DH134">
        <f t="shared" si="61"/>
        <v>0</v>
      </c>
      <c r="DI134">
        <f t="shared" si="62"/>
        <v>937.59</v>
      </c>
      <c r="DJ134">
        <f>DI134</f>
        <v>937.59</v>
      </c>
      <c r="DK134">
        <v>1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ROW(Source!A194)</f>
        <v>194</v>
      </c>
      <c r="B135">
        <v>61635504</v>
      </c>
      <c r="C135">
        <v>61636280</v>
      </c>
      <c r="D135">
        <v>56217421</v>
      </c>
      <c r="E135">
        <v>108</v>
      </c>
      <c r="F135">
        <v>1</v>
      </c>
      <c r="G135">
        <v>1</v>
      </c>
      <c r="H135">
        <v>1</v>
      </c>
      <c r="I135" t="s">
        <v>454</v>
      </c>
      <c r="J135" t="s">
        <v>3</v>
      </c>
      <c r="K135" t="s">
        <v>455</v>
      </c>
      <c r="L135">
        <v>1369</v>
      </c>
      <c r="N135">
        <v>1013</v>
      </c>
      <c r="O135" t="s">
        <v>315</v>
      </c>
      <c r="P135" t="s">
        <v>315</v>
      </c>
      <c r="Q135">
        <v>1</v>
      </c>
      <c r="W135">
        <v>0</v>
      </c>
      <c r="X135">
        <v>286205319</v>
      </c>
      <c r="Y135">
        <f t="shared" si="55"/>
        <v>0.16</v>
      </c>
      <c r="AA135">
        <v>0</v>
      </c>
      <c r="AB135">
        <v>0</v>
      </c>
      <c r="AC135">
        <v>0</v>
      </c>
      <c r="AD135">
        <v>584.69000000000005</v>
      </c>
      <c r="AE135">
        <v>0</v>
      </c>
      <c r="AF135">
        <v>0</v>
      </c>
      <c r="AG135">
        <v>0</v>
      </c>
      <c r="AH135">
        <v>584.69000000000005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0</v>
      </c>
      <c r="AQ135">
        <v>1</v>
      </c>
      <c r="AR135">
        <v>0</v>
      </c>
      <c r="AS135" t="s">
        <v>3</v>
      </c>
      <c r="AT135">
        <v>0.16</v>
      </c>
      <c r="AU135" t="s">
        <v>3</v>
      </c>
      <c r="AV135">
        <v>1</v>
      </c>
      <c r="AW135">
        <v>2</v>
      </c>
      <c r="AX135">
        <v>61636283</v>
      </c>
      <c r="AY135">
        <v>1</v>
      </c>
      <c r="AZ135">
        <v>0</v>
      </c>
      <c r="BA135">
        <v>135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93.55040000000001</v>
      </c>
      <c r="BN135">
        <v>0.16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93.55040000000001</v>
      </c>
      <c r="BU135">
        <v>0.16</v>
      </c>
      <c r="BV135">
        <v>0</v>
      </c>
      <c r="BW135">
        <v>1</v>
      </c>
      <c r="CU135">
        <f>ROUND(AT135*Source!I194*AH135*AL135,2)</f>
        <v>374.2</v>
      </c>
      <c r="CV135">
        <f>ROUND(Y135*Source!I194,7)</f>
        <v>0.64</v>
      </c>
      <c r="CW135">
        <v>0</v>
      </c>
      <c r="CX135">
        <f>ROUND(Y135*Source!I194,7)</f>
        <v>0.64</v>
      </c>
      <c r="CY135">
        <f>AD135</f>
        <v>584.69000000000005</v>
      </c>
      <c r="CZ135">
        <f>AH135</f>
        <v>584.69000000000005</v>
      </c>
      <c r="DA135">
        <f>AL135</f>
        <v>1</v>
      </c>
      <c r="DB135">
        <f t="shared" si="56"/>
        <v>93.55</v>
      </c>
      <c r="DC135">
        <f t="shared" si="57"/>
        <v>0</v>
      </c>
      <c r="DD135" t="s">
        <v>3</v>
      </c>
      <c r="DE135" t="s">
        <v>3</v>
      </c>
      <c r="DF135">
        <f t="shared" si="63"/>
        <v>0</v>
      </c>
      <c r="DG135">
        <f t="shared" si="60"/>
        <v>0</v>
      </c>
      <c r="DH135">
        <f t="shared" si="61"/>
        <v>0</v>
      </c>
      <c r="DI135">
        <f t="shared" si="62"/>
        <v>374.2</v>
      </c>
      <c r="DJ135">
        <f>DI135</f>
        <v>374.2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ROW(Source!A194)</f>
        <v>194</v>
      </c>
      <c r="B136">
        <v>61635504</v>
      </c>
      <c r="C136">
        <v>61636280</v>
      </c>
      <c r="D136">
        <v>56217452</v>
      </c>
      <c r="E136">
        <v>108</v>
      </c>
      <c r="F136">
        <v>1</v>
      </c>
      <c r="G136">
        <v>1</v>
      </c>
      <c r="H136">
        <v>1</v>
      </c>
      <c r="I136" t="s">
        <v>456</v>
      </c>
      <c r="J136" t="s">
        <v>3</v>
      </c>
      <c r="K136" t="s">
        <v>457</v>
      </c>
      <c r="L136">
        <v>1369</v>
      </c>
      <c r="N136">
        <v>1013</v>
      </c>
      <c r="O136" t="s">
        <v>315</v>
      </c>
      <c r="P136" t="s">
        <v>315</v>
      </c>
      <c r="Q136">
        <v>1</v>
      </c>
      <c r="W136">
        <v>0</v>
      </c>
      <c r="X136">
        <v>126826561</v>
      </c>
      <c r="Y136">
        <f t="shared" si="55"/>
        <v>0.16</v>
      </c>
      <c r="AA136">
        <v>0</v>
      </c>
      <c r="AB136">
        <v>0</v>
      </c>
      <c r="AC136">
        <v>0</v>
      </c>
      <c r="AD136">
        <v>571.70000000000005</v>
      </c>
      <c r="AE136">
        <v>0</v>
      </c>
      <c r="AF136">
        <v>0</v>
      </c>
      <c r="AG136">
        <v>0</v>
      </c>
      <c r="AH136">
        <v>571.70000000000005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0</v>
      </c>
      <c r="AQ136">
        <v>1</v>
      </c>
      <c r="AR136">
        <v>0</v>
      </c>
      <c r="AS136" t="s">
        <v>3</v>
      </c>
      <c r="AT136">
        <v>0.16</v>
      </c>
      <c r="AU136" t="s">
        <v>3</v>
      </c>
      <c r="AV136">
        <v>1</v>
      </c>
      <c r="AW136">
        <v>2</v>
      </c>
      <c r="AX136">
        <v>61636284</v>
      </c>
      <c r="AY136">
        <v>1</v>
      </c>
      <c r="AZ136">
        <v>0</v>
      </c>
      <c r="BA136">
        <v>136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91.472000000000008</v>
      </c>
      <c r="BN136">
        <v>0.16</v>
      </c>
      <c r="BO136">
        <v>0</v>
      </c>
      <c r="BP136">
        <v>1</v>
      </c>
      <c r="BQ136">
        <v>0</v>
      </c>
      <c r="BR136">
        <v>0</v>
      </c>
      <c r="BS136">
        <v>0</v>
      </c>
      <c r="BT136">
        <v>91.472000000000008</v>
      </c>
      <c r="BU136">
        <v>0.16</v>
      </c>
      <c r="BV136">
        <v>0</v>
      </c>
      <c r="BW136">
        <v>1</v>
      </c>
      <c r="CU136">
        <f>ROUND(AT136*Source!I194*AH136*AL136,2)</f>
        <v>365.89</v>
      </c>
      <c r="CV136">
        <f>ROUND(Y136*Source!I194,7)</f>
        <v>0.64</v>
      </c>
      <c r="CW136">
        <v>0</v>
      </c>
      <c r="CX136">
        <f>ROUND(Y136*Source!I194,7)</f>
        <v>0.64</v>
      </c>
      <c r="CY136">
        <f>AD136</f>
        <v>571.70000000000005</v>
      </c>
      <c r="CZ136">
        <f>AH136</f>
        <v>571.70000000000005</v>
      </c>
      <c r="DA136">
        <f>AL136</f>
        <v>1</v>
      </c>
      <c r="DB136">
        <f t="shared" si="56"/>
        <v>91.47</v>
      </c>
      <c r="DC136">
        <f t="shared" si="57"/>
        <v>0</v>
      </c>
      <c r="DD136" t="s">
        <v>3</v>
      </c>
      <c r="DE136" t="s">
        <v>3</v>
      </c>
      <c r="DF136">
        <f t="shared" si="63"/>
        <v>0</v>
      </c>
      <c r="DG136">
        <f t="shared" si="60"/>
        <v>0</v>
      </c>
      <c r="DH136">
        <f t="shared" si="61"/>
        <v>0</v>
      </c>
      <c r="DI136">
        <f t="shared" si="62"/>
        <v>365.89</v>
      </c>
      <c r="DJ136">
        <f>DI136</f>
        <v>365.89</v>
      </c>
      <c r="DK136">
        <v>1</v>
      </c>
      <c r="DL136" t="s">
        <v>3</v>
      </c>
      <c r="DM136">
        <v>0</v>
      </c>
      <c r="DN136" t="s">
        <v>3</v>
      </c>
      <c r="DO136">
        <v>0</v>
      </c>
    </row>
    <row r="289" spans="9:9" x14ac:dyDescent="0.2">
      <c r="I28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61636440</v>
      </c>
      <c r="C1">
        <v>61636381</v>
      </c>
      <c r="D1">
        <v>60458132</v>
      </c>
      <c r="E1">
        <v>110</v>
      </c>
      <c r="F1">
        <v>1</v>
      </c>
      <c r="G1">
        <v>1</v>
      </c>
      <c r="H1">
        <v>1</v>
      </c>
      <c r="I1" t="s">
        <v>313</v>
      </c>
      <c r="J1" t="s">
        <v>3</v>
      </c>
      <c r="K1" t="s">
        <v>314</v>
      </c>
      <c r="L1">
        <v>1369</v>
      </c>
      <c r="N1">
        <v>1013</v>
      </c>
      <c r="O1" t="s">
        <v>315</v>
      </c>
      <c r="P1" t="s">
        <v>315</v>
      </c>
      <c r="Q1">
        <v>1</v>
      </c>
      <c r="X1">
        <v>0.99</v>
      </c>
      <c r="Y1">
        <v>0</v>
      </c>
      <c r="Z1">
        <v>0</v>
      </c>
      <c r="AA1">
        <v>0</v>
      </c>
      <c r="AB1">
        <v>354.06</v>
      </c>
      <c r="AC1">
        <v>0</v>
      </c>
      <c r="AD1">
        <v>1</v>
      </c>
      <c r="AE1">
        <v>1</v>
      </c>
      <c r="AF1" t="s">
        <v>27</v>
      </c>
      <c r="AG1">
        <v>0.29699999999999999</v>
      </c>
      <c r="AH1">
        <v>2</v>
      </c>
      <c r="AI1">
        <v>61636440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61636441</v>
      </c>
      <c r="C2">
        <v>61636381</v>
      </c>
      <c r="D2">
        <v>60458134</v>
      </c>
      <c r="E2">
        <v>110</v>
      </c>
      <c r="F2">
        <v>1</v>
      </c>
      <c r="G2">
        <v>1</v>
      </c>
      <c r="H2">
        <v>1</v>
      </c>
      <c r="I2" t="s">
        <v>316</v>
      </c>
      <c r="J2" t="s">
        <v>3</v>
      </c>
      <c r="K2" t="s">
        <v>317</v>
      </c>
      <c r="L2">
        <v>1369</v>
      </c>
      <c r="N2">
        <v>1013</v>
      </c>
      <c r="O2" t="s">
        <v>315</v>
      </c>
      <c r="P2" t="s">
        <v>315</v>
      </c>
      <c r="Q2">
        <v>1</v>
      </c>
      <c r="X2">
        <v>47.29</v>
      </c>
      <c r="Y2">
        <v>0</v>
      </c>
      <c r="Z2">
        <v>0</v>
      </c>
      <c r="AA2">
        <v>0</v>
      </c>
      <c r="AB2">
        <v>386.55</v>
      </c>
      <c r="AC2">
        <v>0</v>
      </c>
      <c r="AD2">
        <v>1</v>
      </c>
      <c r="AE2">
        <v>1</v>
      </c>
      <c r="AF2" t="s">
        <v>27</v>
      </c>
      <c r="AG2">
        <v>14.186999999999999</v>
      </c>
      <c r="AH2">
        <v>2</v>
      </c>
      <c r="AI2">
        <v>61636441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61636442</v>
      </c>
      <c r="C3">
        <v>61636381</v>
      </c>
      <c r="D3">
        <v>60458138</v>
      </c>
      <c r="E3">
        <v>110</v>
      </c>
      <c r="F3">
        <v>1</v>
      </c>
      <c r="G3">
        <v>1</v>
      </c>
      <c r="H3">
        <v>1</v>
      </c>
      <c r="I3" t="s">
        <v>318</v>
      </c>
      <c r="J3" t="s">
        <v>3</v>
      </c>
      <c r="K3" t="s">
        <v>319</v>
      </c>
      <c r="L3">
        <v>1369</v>
      </c>
      <c r="N3">
        <v>1013</v>
      </c>
      <c r="O3" t="s">
        <v>315</v>
      </c>
      <c r="P3" t="s">
        <v>315</v>
      </c>
      <c r="Q3">
        <v>1</v>
      </c>
      <c r="X3">
        <v>23.42</v>
      </c>
      <c r="Y3">
        <v>0</v>
      </c>
      <c r="Z3">
        <v>0</v>
      </c>
      <c r="AA3">
        <v>0</v>
      </c>
      <c r="AB3">
        <v>435.27</v>
      </c>
      <c r="AC3">
        <v>0</v>
      </c>
      <c r="AD3">
        <v>1</v>
      </c>
      <c r="AE3">
        <v>1</v>
      </c>
      <c r="AF3" t="s">
        <v>27</v>
      </c>
      <c r="AG3">
        <v>7.0260000000000007</v>
      </c>
      <c r="AH3">
        <v>2</v>
      </c>
      <c r="AI3">
        <v>61636442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61636443</v>
      </c>
      <c r="C4">
        <v>61636381</v>
      </c>
      <c r="D4">
        <v>60458140</v>
      </c>
      <c r="E4">
        <v>110</v>
      </c>
      <c r="F4">
        <v>1</v>
      </c>
      <c r="G4">
        <v>1</v>
      </c>
      <c r="H4">
        <v>1</v>
      </c>
      <c r="I4" t="s">
        <v>320</v>
      </c>
      <c r="J4" t="s">
        <v>3</v>
      </c>
      <c r="K4" t="s">
        <v>321</v>
      </c>
      <c r="L4">
        <v>1369</v>
      </c>
      <c r="N4">
        <v>1013</v>
      </c>
      <c r="O4" t="s">
        <v>315</v>
      </c>
      <c r="P4" t="s">
        <v>315</v>
      </c>
      <c r="Q4">
        <v>1</v>
      </c>
      <c r="X4">
        <v>23.42</v>
      </c>
      <c r="Y4">
        <v>0</v>
      </c>
      <c r="Z4">
        <v>0</v>
      </c>
      <c r="AA4">
        <v>0</v>
      </c>
      <c r="AB4">
        <v>500.24</v>
      </c>
      <c r="AC4">
        <v>0</v>
      </c>
      <c r="AD4">
        <v>1</v>
      </c>
      <c r="AE4">
        <v>1</v>
      </c>
      <c r="AF4" t="s">
        <v>27</v>
      </c>
      <c r="AG4">
        <v>7.0260000000000007</v>
      </c>
      <c r="AH4">
        <v>2</v>
      </c>
      <c r="AI4">
        <v>61636443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61636444</v>
      </c>
      <c r="C5">
        <v>61636381</v>
      </c>
      <c r="D5">
        <v>60458172</v>
      </c>
      <c r="E5">
        <v>110</v>
      </c>
      <c r="F5">
        <v>1</v>
      </c>
      <c r="G5">
        <v>1</v>
      </c>
      <c r="H5">
        <v>1</v>
      </c>
      <c r="I5" t="s">
        <v>322</v>
      </c>
      <c r="J5" t="s">
        <v>3</v>
      </c>
      <c r="K5" t="s">
        <v>323</v>
      </c>
      <c r="L5">
        <v>1191</v>
      </c>
      <c r="N5">
        <v>1013</v>
      </c>
      <c r="O5" t="s">
        <v>324</v>
      </c>
      <c r="P5" t="s">
        <v>324</v>
      </c>
      <c r="Q5">
        <v>1</v>
      </c>
      <c r="X5">
        <v>24.89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2</v>
      </c>
      <c r="AF5" t="s">
        <v>27</v>
      </c>
      <c r="AG5">
        <v>7.4669999999999996</v>
      </c>
      <c r="AH5">
        <v>2</v>
      </c>
      <c r="AI5">
        <v>61636444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61636445</v>
      </c>
      <c r="C6">
        <v>61636381</v>
      </c>
      <c r="D6">
        <v>60465258</v>
      </c>
      <c r="E6">
        <v>1</v>
      </c>
      <c r="F6">
        <v>1</v>
      </c>
      <c r="G6">
        <v>1</v>
      </c>
      <c r="H6">
        <v>2</v>
      </c>
      <c r="I6" t="s">
        <v>325</v>
      </c>
      <c r="J6" t="s">
        <v>326</v>
      </c>
      <c r="K6" t="s">
        <v>327</v>
      </c>
      <c r="L6">
        <v>1368</v>
      </c>
      <c r="N6">
        <v>1011</v>
      </c>
      <c r="O6" t="s">
        <v>194</v>
      </c>
      <c r="P6" t="s">
        <v>194</v>
      </c>
      <c r="Q6">
        <v>1</v>
      </c>
      <c r="X6">
        <v>0.75</v>
      </c>
      <c r="Y6">
        <v>0</v>
      </c>
      <c r="Z6">
        <v>1459.82</v>
      </c>
      <c r="AA6">
        <v>584.69000000000005</v>
      </c>
      <c r="AB6">
        <v>0</v>
      </c>
      <c r="AC6">
        <v>0</v>
      </c>
      <c r="AD6">
        <v>1</v>
      </c>
      <c r="AE6">
        <v>0</v>
      </c>
      <c r="AF6" t="s">
        <v>27</v>
      </c>
      <c r="AG6">
        <v>0.22499999999999998</v>
      </c>
      <c r="AH6">
        <v>2</v>
      </c>
      <c r="AI6">
        <v>61636445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61636446</v>
      </c>
      <c r="C7">
        <v>61636381</v>
      </c>
      <c r="D7">
        <v>60465392</v>
      </c>
      <c r="E7">
        <v>1</v>
      </c>
      <c r="F7">
        <v>1</v>
      </c>
      <c r="G7">
        <v>1</v>
      </c>
      <c r="H7">
        <v>2</v>
      </c>
      <c r="I7" t="s">
        <v>329</v>
      </c>
      <c r="J7" t="s">
        <v>330</v>
      </c>
      <c r="K7" t="s">
        <v>331</v>
      </c>
      <c r="L7">
        <v>1368</v>
      </c>
      <c r="N7">
        <v>1011</v>
      </c>
      <c r="O7" t="s">
        <v>194</v>
      </c>
      <c r="P7" t="s">
        <v>194</v>
      </c>
      <c r="Q7">
        <v>1</v>
      </c>
      <c r="X7">
        <v>0.81</v>
      </c>
      <c r="Y7">
        <v>0</v>
      </c>
      <c r="Z7">
        <v>15.06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27</v>
      </c>
      <c r="AG7">
        <v>0.24299999999999999</v>
      </c>
      <c r="AH7">
        <v>2</v>
      </c>
      <c r="AI7">
        <v>61636446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61636447</v>
      </c>
      <c r="C8">
        <v>61636381</v>
      </c>
      <c r="D8">
        <v>60465431</v>
      </c>
      <c r="E8">
        <v>1</v>
      </c>
      <c r="F8">
        <v>1</v>
      </c>
      <c r="G8">
        <v>1</v>
      </c>
      <c r="H8">
        <v>2</v>
      </c>
      <c r="I8" t="s">
        <v>332</v>
      </c>
      <c r="J8" t="s">
        <v>333</v>
      </c>
      <c r="K8" t="s">
        <v>334</v>
      </c>
      <c r="L8">
        <v>1368</v>
      </c>
      <c r="N8">
        <v>1011</v>
      </c>
      <c r="O8" t="s">
        <v>194</v>
      </c>
      <c r="P8" t="s">
        <v>194</v>
      </c>
      <c r="Q8">
        <v>1</v>
      </c>
      <c r="X8">
        <v>22.74</v>
      </c>
      <c r="Y8">
        <v>0</v>
      </c>
      <c r="Z8">
        <v>346.73</v>
      </c>
      <c r="AA8">
        <v>435.27</v>
      </c>
      <c r="AB8">
        <v>0</v>
      </c>
      <c r="AC8">
        <v>0</v>
      </c>
      <c r="AD8">
        <v>1</v>
      </c>
      <c r="AE8">
        <v>0</v>
      </c>
      <c r="AF8" t="s">
        <v>27</v>
      </c>
      <c r="AG8">
        <v>6.8219999999999992</v>
      </c>
      <c r="AH8">
        <v>2</v>
      </c>
      <c r="AI8">
        <v>61636447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ROW(Source!A28)</f>
        <v>28</v>
      </c>
      <c r="B9">
        <v>61636448</v>
      </c>
      <c r="C9">
        <v>61636381</v>
      </c>
      <c r="D9">
        <v>60466143</v>
      </c>
      <c r="E9">
        <v>1</v>
      </c>
      <c r="F9">
        <v>1</v>
      </c>
      <c r="G9">
        <v>1</v>
      </c>
      <c r="H9">
        <v>2</v>
      </c>
      <c r="I9" t="s">
        <v>336</v>
      </c>
      <c r="J9" t="s">
        <v>337</v>
      </c>
      <c r="K9" t="s">
        <v>338</v>
      </c>
      <c r="L9">
        <v>1368</v>
      </c>
      <c r="N9">
        <v>1011</v>
      </c>
      <c r="O9" t="s">
        <v>194</v>
      </c>
      <c r="P9" t="s">
        <v>194</v>
      </c>
      <c r="Q9">
        <v>1</v>
      </c>
      <c r="X9">
        <v>0.59</v>
      </c>
      <c r="Y9">
        <v>0</v>
      </c>
      <c r="Z9">
        <v>477.92</v>
      </c>
      <c r="AA9">
        <v>435.27</v>
      </c>
      <c r="AB9">
        <v>0</v>
      </c>
      <c r="AC9">
        <v>0</v>
      </c>
      <c r="AD9">
        <v>1</v>
      </c>
      <c r="AE9">
        <v>0</v>
      </c>
      <c r="AF9" t="s">
        <v>27</v>
      </c>
      <c r="AG9">
        <v>0.17699999999999999</v>
      </c>
      <c r="AH9">
        <v>2</v>
      </c>
      <c r="AI9">
        <v>61636448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ROW(Source!A28)</f>
        <v>28</v>
      </c>
      <c r="B10">
        <v>61636449</v>
      </c>
      <c r="C10">
        <v>61636381</v>
      </c>
      <c r="D10">
        <v>60466339</v>
      </c>
      <c r="E10">
        <v>1</v>
      </c>
      <c r="F10">
        <v>1</v>
      </c>
      <c r="G10">
        <v>1</v>
      </c>
      <c r="H10">
        <v>2</v>
      </c>
      <c r="I10" t="s">
        <v>339</v>
      </c>
      <c r="J10" t="s">
        <v>340</v>
      </c>
      <c r="K10" t="s">
        <v>341</v>
      </c>
      <c r="L10">
        <v>1368</v>
      </c>
      <c r="N10">
        <v>1011</v>
      </c>
      <c r="O10" t="s">
        <v>194</v>
      </c>
      <c r="P10" t="s">
        <v>194</v>
      </c>
      <c r="Q10">
        <v>1</v>
      </c>
      <c r="X10">
        <v>0.81</v>
      </c>
      <c r="Y10">
        <v>0</v>
      </c>
      <c r="Z10">
        <v>170.84</v>
      </c>
      <c r="AA10">
        <v>435.27</v>
      </c>
      <c r="AB10">
        <v>0</v>
      </c>
      <c r="AC10">
        <v>0</v>
      </c>
      <c r="AD10">
        <v>1</v>
      </c>
      <c r="AE10">
        <v>0</v>
      </c>
      <c r="AF10" t="s">
        <v>27</v>
      </c>
      <c r="AG10">
        <v>0.24299999999999999</v>
      </c>
      <c r="AH10">
        <v>2</v>
      </c>
      <c r="AI10">
        <v>61636449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ROW(Source!A28)</f>
        <v>28</v>
      </c>
      <c r="B11">
        <v>61636450</v>
      </c>
      <c r="C11">
        <v>61636381</v>
      </c>
      <c r="D11">
        <v>60462598</v>
      </c>
      <c r="E11">
        <v>110</v>
      </c>
      <c r="F11">
        <v>1</v>
      </c>
      <c r="G11">
        <v>1</v>
      </c>
      <c r="H11">
        <v>3</v>
      </c>
      <c r="I11" t="s">
        <v>342</v>
      </c>
      <c r="J11" t="s">
        <v>3</v>
      </c>
      <c r="K11" t="s">
        <v>343</v>
      </c>
      <c r="L11">
        <v>1371</v>
      </c>
      <c r="N11">
        <v>1013</v>
      </c>
      <c r="O11" t="s">
        <v>126</v>
      </c>
      <c r="P11" t="s">
        <v>126</v>
      </c>
      <c r="Q11">
        <v>1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 t="s">
        <v>26</v>
      </c>
      <c r="AG11">
        <v>0</v>
      </c>
      <c r="AH11">
        <v>2</v>
      </c>
      <c r="AI11">
        <v>61636450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ROW(Source!A28)</f>
        <v>28</v>
      </c>
      <c r="B12">
        <v>61636451</v>
      </c>
      <c r="C12">
        <v>61636381</v>
      </c>
      <c r="D12">
        <v>60462607</v>
      </c>
      <c r="E12">
        <v>110</v>
      </c>
      <c r="F12">
        <v>1</v>
      </c>
      <c r="G12">
        <v>1</v>
      </c>
      <c r="H12">
        <v>3</v>
      </c>
      <c r="I12" t="s">
        <v>344</v>
      </c>
      <c r="J12" t="s">
        <v>3</v>
      </c>
      <c r="K12" t="s">
        <v>345</v>
      </c>
      <c r="L12">
        <v>1371</v>
      </c>
      <c r="N12">
        <v>1013</v>
      </c>
      <c r="O12" t="s">
        <v>126</v>
      </c>
      <c r="P12" t="s">
        <v>126</v>
      </c>
      <c r="Q12">
        <v>1</v>
      </c>
      <c r="X12">
        <v>0</v>
      </c>
      <c r="Y12">
        <v>0</v>
      </c>
      <c r="Z12">
        <v>0</v>
      </c>
      <c r="AA12">
        <v>0</v>
      </c>
      <c r="AB12">
        <v>0</v>
      </c>
      <c r="AC12">
        <v>1</v>
      </c>
      <c r="AD12">
        <v>0</v>
      </c>
      <c r="AE12">
        <v>0</v>
      </c>
      <c r="AF12" t="s">
        <v>26</v>
      </c>
      <c r="AG12">
        <v>0</v>
      </c>
      <c r="AH12">
        <v>2</v>
      </c>
      <c r="AI12">
        <v>61636451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ROW(Source!A28)</f>
        <v>28</v>
      </c>
      <c r="B13">
        <v>61636452</v>
      </c>
      <c r="C13">
        <v>61636381</v>
      </c>
      <c r="D13">
        <v>60462763</v>
      </c>
      <c r="E13">
        <v>110</v>
      </c>
      <c r="F13">
        <v>1</v>
      </c>
      <c r="G13">
        <v>1</v>
      </c>
      <c r="H13">
        <v>3</v>
      </c>
      <c r="I13" t="s">
        <v>346</v>
      </c>
      <c r="J13" t="s">
        <v>3</v>
      </c>
      <c r="K13" t="s">
        <v>347</v>
      </c>
      <c r="L13">
        <v>1477</v>
      </c>
      <c r="N13">
        <v>1013</v>
      </c>
      <c r="O13" t="s">
        <v>23</v>
      </c>
      <c r="P13" t="s">
        <v>28</v>
      </c>
      <c r="Q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 t="s">
        <v>26</v>
      </c>
      <c r="AG13">
        <v>0</v>
      </c>
      <c r="AH13">
        <v>2</v>
      </c>
      <c r="AI13">
        <v>61636452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61636453</v>
      </c>
      <c r="C14">
        <v>61636339</v>
      </c>
      <c r="D14">
        <v>60458000</v>
      </c>
      <c r="E14">
        <v>110</v>
      </c>
      <c r="F14">
        <v>1</v>
      </c>
      <c r="G14">
        <v>1</v>
      </c>
      <c r="H14">
        <v>1</v>
      </c>
      <c r="I14" t="s">
        <v>348</v>
      </c>
      <c r="J14" t="s">
        <v>3</v>
      </c>
      <c r="K14" t="s">
        <v>349</v>
      </c>
      <c r="L14">
        <v>1191</v>
      </c>
      <c r="N14">
        <v>1013</v>
      </c>
      <c r="O14" t="s">
        <v>324</v>
      </c>
      <c r="P14" t="s">
        <v>324</v>
      </c>
      <c r="Q14">
        <v>1</v>
      </c>
      <c r="X14">
        <v>41.2</v>
      </c>
      <c r="Y14">
        <v>0</v>
      </c>
      <c r="Z14">
        <v>0</v>
      </c>
      <c r="AA14">
        <v>0</v>
      </c>
      <c r="AB14">
        <v>435.27</v>
      </c>
      <c r="AC14">
        <v>0</v>
      </c>
      <c r="AD14">
        <v>1</v>
      </c>
      <c r="AE14">
        <v>1</v>
      </c>
      <c r="AF14" t="s">
        <v>27</v>
      </c>
      <c r="AG14">
        <v>12.360000000000001</v>
      </c>
      <c r="AH14">
        <v>2</v>
      </c>
      <c r="AI14">
        <v>61636453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ROW(Source!A29)</f>
        <v>29</v>
      </c>
      <c r="B15">
        <v>61636454</v>
      </c>
      <c r="C15">
        <v>61636339</v>
      </c>
      <c r="D15">
        <v>60458172</v>
      </c>
      <c r="E15">
        <v>110</v>
      </c>
      <c r="F15">
        <v>1</v>
      </c>
      <c r="G15">
        <v>1</v>
      </c>
      <c r="H15">
        <v>1</v>
      </c>
      <c r="I15" t="s">
        <v>322</v>
      </c>
      <c r="J15" t="s">
        <v>3</v>
      </c>
      <c r="K15" t="s">
        <v>323</v>
      </c>
      <c r="L15">
        <v>1191</v>
      </c>
      <c r="N15">
        <v>1013</v>
      </c>
      <c r="O15" t="s">
        <v>324</v>
      </c>
      <c r="P15" t="s">
        <v>324</v>
      </c>
      <c r="Q15">
        <v>1</v>
      </c>
      <c r="X15">
        <v>0.2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2</v>
      </c>
      <c r="AF15" t="s">
        <v>27</v>
      </c>
      <c r="AG15">
        <v>0.06</v>
      </c>
      <c r="AH15">
        <v>2</v>
      </c>
      <c r="AI15">
        <v>61636454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ROW(Source!A29)</f>
        <v>29</v>
      </c>
      <c r="B16">
        <v>61636455</v>
      </c>
      <c r="C16">
        <v>61636339</v>
      </c>
      <c r="D16">
        <v>60465258</v>
      </c>
      <c r="E16">
        <v>1</v>
      </c>
      <c r="F16">
        <v>1</v>
      </c>
      <c r="G16">
        <v>1</v>
      </c>
      <c r="H16">
        <v>2</v>
      </c>
      <c r="I16" t="s">
        <v>325</v>
      </c>
      <c r="J16" t="s">
        <v>326</v>
      </c>
      <c r="K16" t="s">
        <v>327</v>
      </c>
      <c r="L16">
        <v>1368</v>
      </c>
      <c r="N16">
        <v>1011</v>
      </c>
      <c r="O16" t="s">
        <v>194</v>
      </c>
      <c r="P16" t="s">
        <v>194</v>
      </c>
      <c r="Q16">
        <v>1</v>
      </c>
      <c r="X16">
        <v>0.1</v>
      </c>
      <c r="Y16">
        <v>0</v>
      </c>
      <c r="Z16">
        <v>1459.82</v>
      </c>
      <c r="AA16">
        <v>584.69000000000005</v>
      </c>
      <c r="AB16">
        <v>0</v>
      </c>
      <c r="AC16">
        <v>0</v>
      </c>
      <c r="AD16">
        <v>1</v>
      </c>
      <c r="AE16">
        <v>0</v>
      </c>
      <c r="AF16" t="s">
        <v>27</v>
      </c>
      <c r="AG16">
        <v>0.03</v>
      </c>
      <c r="AH16">
        <v>2</v>
      </c>
      <c r="AI16">
        <v>61636455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ROW(Source!A29)</f>
        <v>29</v>
      </c>
      <c r="B17">
        <v>61636456</v>
      </c>
      <c r="C17">
        <v>61636339</v>
      </c>
      <c r="D17">
        <v>60466143</v>
      </c>
      <c r="E17">
        <v>1</v>
      </c>
      <c r="F17">
        <v>1</v>
      </c>
      <c r="G17">
        <v>1</v>
      </c>
      <c r="H17">
        <v>2</v>
      </c>
      <c r="I17" t="s">
        <v>336</v>
      </c>
      <c r="J17" t="s">
        <v>337</v>
      </c>
      <c r="K17" t="s">
        <v>338</v>
      </c>
      <c r="L17">
        <v>1368</v>
      </c>
      <c r="N17">
        <v>1011</v>
      </c>
      <c r="O17" t="s">
        <v>194</v>
      </c>
      <c r="P17" t="s">
        <v>194</v>
      </c>
      <c r="Q17">
        <v>1</v>
      </c>
      <c r="X17">
        <v>0.1</v>
      </c>
      <c r="Y17">
        <v>0</v>
      </c>
      <c r="Z17">
        <v>477.92</v>
      </c>
      <c r="AA17">
        <v>435.27</v>
      </c>
      <c r="AB17">
        <v>0</v>
      </c>
      <c r="AC17">
        <v>0</v>
      </c>
      <c r="AD17">
        <v>1</v>
      </c>
      <c r="AE17">
        <v>0</v>
      </c>
      <c r="AF17" t="s">
        <v>27</v>
      </c>
      <c r="AG17">
        <v>0.03</v>
      </c>
      <c r="AH17">
        <v>2</v>
      </c>
      <c r="AI17">
        <v>61636456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ROW(Source!A29)</f>
        <v>29</v>
      </c>
      <c r="B18">
        <v>61636457</v>
      </c>
      <c r="C18">
        <v>61636339</v>
      </c>
      <c r="D18">
        <v>60466337</v>
      </c>
      <c r="E18">
        <v>1</v>
      </c>
      <c r="F18">
        <v>1</v>
      </c>
      <c r="G18">
        <v>1</v>
      </c>
      <c r="H18">
        <v>2</v>
      </c>
      <c r="I18" t="s">
        <v>350</v>
      </c>
      <c r="J18" t="s">
        <v>351</v>
      </c>
      <c r="K18" t="s">
        <v>352</v>
      </c>
      <c r="L18">
        <v>1368</v>
      </c>
      <c r="N18">
        <v>1011</v>
      </c>
      <c r="O18" t="s">
        <v>194</v>
      </c>
      <c r="P18" t="s">
        <v>194</v>
      </c>
      <c r="Q18">
        <v>1</v>
      </c>
      <c r="X18">
        <v>0.16</v>
      </c>
      <c r="Y18">
        <v>0</v>
      </c>
      <c r="Z18">
        <v>25.86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27</v>
      </c>
      <c r="AG18">
        <v>4.8000000000000001E-2</v>
      </c>
      <c r="AH18">
        <v>2</v>
      </c>
      <c r="AI18">
        <v>61636457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ROW(Source!A29)</f>
        <v>29</v>
      </c>
      <c r="B19">
        <v>61636458</v>
      </c>
      <c r="C19">
        <v>61636339</v>
      </c>
      <c r="D19">
        <v>60539739</v>
      </c>
      <c r="E19">
        <v>1</v>
      </c>
      <c r="F19">
        <v>1</v>
      </c>
      <c r="G19">
        <v>1</v>
      </c>
      <c r="H19">
        <v>3</v>
      </c>
      <c r="I19" t="s">
        <v>353</v>
      </c>
      <c r="J19" t="s">
        <v>354</v>
      </c>
      <c r="K19" t="s">
        <v>355</v>
      </c>
      <c r="L19">
        <v>1348</v>
      </c>
      <c r="N19">
        <v>1009</v>
      </c>
      <c r="O19" t="s">
        <v>356</v>
      </c>
      <c r="P19" t="s">
        <v>356</v>
      </c>
      <c r="Q19">
        <v>1000</v>
      </c>
      <c r="X19">
        <v>3.0000000000000001E-3</v>
      </c>
      <c r="Y19">
        <v>70310.45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26</v>
      </c>
      <c r="AG19">
        <v>0</v>
      </c>
      <c r="AH19">
        <v>2</v>
      </c>
      <c r="AI19">
        <v>61636458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ROW(Source!A29)</f>
        <v>29</v>
      </c>
      <c r="B20">
        <v>61636459</v>
      </c>
      <c r="C20">
        <v>61636339</v>
      </c>
      <c r="D20">
        <v>60549173</v>
      </c>
      <c r="E20">
        <v>1</v>
      </c>
      <c r="F20">
        <v>1</v>
      </c>
      <c r="G20">
        <v>1</v>
      </c>
      <c r="H20">
        <v>3</v>
      </c>
      <c r="I20" t="s">
        <v>357</v>
      </c>
      <c r="J20" t="s">
        <v>358</v>
      </c>
      <c r="K20" t="s">
        <v>359</v>
      </c>
      <c r="L20">
        <v>1346</v>
      </c>
      <c r="N20">
        <v>1009</v>
      </c>
      <c r="O20" t="s">
        <v>176</v>
      </c>
      <c r="P20" t="s">
        <v>176</v>
      </c>
      <c r="Q20">
        <v>1</v>
      </c>
      <c r="X20">
        <v>0.8</v>
      </c>
      <c r="Y20">
        <v>79.88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26</v>
      </c>
      <c r="AG20">
        <v>0</v>
      </c>
      <c r="AH20">
        <v>2</v>
      </c>
      <c r="AI20">
        <v>61636459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ROW(Source!A29)</f>
        <v>29</v>
      </c>
      <c r="B21">
        <v>61636460</v>
      </c>
      <c r="C21">
        <v>61636339</v>
      </c>
      <c r="D21">
        <v>60559328</v>
      </c>
      <c r="E21">
        <v>1</v>
      </c>
      <c r="F21">
        <v>1</v>
      </c>
      <c r="G21">
        <v>1</v>
      </c>
      <c r="H21">
        <v>3</v>
      </c>
      <c r="I21" t="s">
        <v>360</v>
      </c>
      <c r="J21" t="s">
        <v>361</v>
      </c>
      <c r="K21" t="s">
        <v>362</v>
      </c>
      <c r="L21">
        <v>1425</v>
      </c>
      <c r="N21">
        <v>1013</v>
      </c>
      <c r="O21" t="s">
        <v>38</v>
      </c>
      <c r="P21" t="s">
        <v>38</v>
      </c>
      <c r="Q21">
        <v>1</v>
      </c>
      <c r="X21">
        <v>1.02</v>
      </c>
      <c r="Y21">
        <v>896.51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26</v>
      </c>
      <c r="AG21">
        <v>0</v>
      </c>
      <c r="AH21">
        <v>2</v>
      </c>
      <c r="AI21">
        <v>61636460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ROW(Source!A29)</f>
        <v>29</v>
      </c>
      <c r="B22">
        <v>61636461</v>
      </c>
      <c r="C22">
        <v>61636339</v>
      </c>
      <c r="D22">
        <v>60463688</v>
      </c>
      <c r="E22">
        <v>110</v>
      </c>
      <c r="F22">
        <v>1</v>
      </c>
      <c r="G22">
        <v>1</v>
      </c>
      <c r="H22">
        <v>3</v>
      </c>
      <c r="I22" t="s">
        <v>363</v>
      </c>
      <c r="J22" t="s">
        <v>3</v>
      </c>
      <c r="K22" t="s">
        <v>364</v>
      </c>
      <c r="L22">
        <v>3277935</v>
      </c>
      <c r="N22">
        <v>1013</v>
      </c>
      <c r="O22" t="s">
        <v>365</v>
      </c>
      <c r="P22" t="s">
        <v>365</v>
      </c>
      <c r="Q22">
        <v>1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26</v>
      </c>
      <c r="AG22">
        <v>0</v>
      </c>
      <c r="AH22">
        <v>2</v>
      </c>
      <c r="AI22">
        <v>61636461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61636463</v>
      </c>
      <c r="C23">
        <v>61635651</v>
      </c>
      <c r="D23">
        <v>60457956</v>
      </c>
      <c r="E23">
        <v>110</v>
      </c>
      <c r="F23">
        <v>1</v>
      </c>
      <c r="G23">
        <v>1</v>
      </c>
      <c r="H23">
        <v>1</v>
      </c>
      <c r="I23" t="s">
        <v>366</v>
      </c>
      <c r="J23" t="s">
        <v>3</v>
      </c>
      <c r="K23" t="s">
        <v>367</v>
      </c>
      <c r="L23">
        <v>1191</v>
      </c>
      <c r="N23">
        <v>1013</v>
      </c>
      <c r="O23" t="s">
        <v>324</v>
      </c>
      <c r="P23" t="s">
        <v>324</v>
      </c>
      <c r="Q23">
        <v>1</v>
      </c>
      <c r="X23">
        <v>1.03</v>
      </c>
      <c r="Y23">
        <v>0</v>
      </c>
      <c r="Z23">
        <v>0</v>
      </c>
      <c r="AA23">
        <v>0</v>
      </c>
      <c r="AB23">
        <v>370.31</v>
      </c>
      <c r="AC23">
        <v>0</v>
      </c>
      <c r="AD23">
        <v>1</v>
      </c>
      <c r="AE23">
        <v>1</v>
      </c>
      <c r="AF23" t="s">
        <v>3</v>
      </c>
      <c r="AG23">
        <v>1.03</v>
      </c>
      <c r="AH23">
        <v>2</v>
      </c>
      <c r="AI23">
        <v>61636463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61636464</v>
      </c>
      <c r="C24">
        <v>61635651</v>
      </c>
      <c r="D24">
        <v>60458172</v>
      </c>
      <c r="E24">
        <v>110</v>
      </c>
      <c r="F24">
        <v>1</v>
      </c>
      <c r="G24">
        <v>1</v>
      </c>
      <c r="H24">
        <v>1</v>
      </c>
      <c r="I24" t="s">
        <v>322</v>
      </c>
      <c r="J24" t="s">
        <v>3</v>
      </c>
      <c r="K24" t="s">
        <v>323</v>
      </c>
      <c r="L24">
        <v>1191</v>
      </c>
      <c r="N24">
        <v>1013</v>
      </c>
      <c r="O24" t="s">
        <v>324</v>
      </c>
      <c r="P24" t="s">
        <v>324</v>
      </c>
      <c r="Q24">
        <v>1</v>
      </c>
      <c r="X24">
        <v>0.05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3</v>
      </c>
      <c r="AG24">
        <v>0.05</v>
      </c>
      <c r="AH24">
        <v>2</v>
      </c>
      <c r="AI24">
        <v>61636464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ROW(Source!A30)</f>
        <v>30</v>
      </c>
      <c r="B25">
        <v>61636465</v>
      </c>
      <c r="C25">
        <v>61635651</v>
      </c>
      <c r="D25">
        <v>60466143</v>
      </c>
      <c r="E25">
        <v>1</v>
      </c>
      <c r="F25">
        <v>1</v>
      </c>
      <c r="G25">
        <v>1</v>
      </c>
      <c r="H25">
        <v>2</v>
      </c>
      <c r="I25" t="s">
        <v>336</v>
      </c>
      <c r="J25" t="s">
        <v>337</v>
      </c>
      <c r="K25" t="s">
        <v>338</v>
      </c>
      <c r="L25">
        <v>1368</v>
      </c>
      <c r="N25">
        <v>1011</v>
      </c>
      <c r="O25" t="s">
        <v>194</v>
      </c>
      <c r="P25" t="s">
        <v>194</v>
      </c>
      <c r="Q25">
        <v>1</v>
      </c>
      <c r="X25">
        <v>0.05</v>
      </c>
      <c r="Y25">
        <v>0</v>
      </c>
      <c r="Z25">
        <v>477.92</v>
      </c>
      <c r="AA25">
        <v>435.27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0.05</v>
      </c>
      <c r="AH25">
        <v>2</v>
      </c>
      <c r="AI25">
        <v>61636465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ROW(Source!A66)</f>
        <v>66</v>
      </c>
      <c r="B26">
        <v>61636466</v>
      </c>
      <c r="C26">
        <v>61635919</v>
      </c>
      <c r="D26">
        <v>60458132</v>
      </c>
      <c r="E26">
        <v>110</v>
      </c>
      <c r="F26">
        <v>1</v>
      </c>
      <c r="G26">
        <v>1</v>
      </c>
      <c r="H26">
        <v>1</v>
      </c>
      <c r="I26" t="s">
        <v>313</v>
      </c>
      <c r="J26" t="s">
        <v>3</v>
      </c>
      <c r="K26" t="s">
        <v>314</v>
      </c>
      <c r="L26">
        <v>1369</v>
      </c>
      <c r="N26">
        <v>1013</v>
      </c>
      <c r="O26" t="s">
        <v>315</v>
      </c>
      <c r="P26" t="s">
        <v>315</v>
      </c>
      <c r="Q26">
        <v>1</v>
      </c>
      <c r="X26">
        <v>0.99</v>
      </c>
      <c r="Y26">
        <v>0</v>
      </c>
      <c r="Z26">
        <v>0</v>
      </c>
      <c r="AA26">
        <v>0</v>
      </c>
      <c r="AB26">
        <v>354.06</v>
      </c>
      <c r="AC26">
        <v>0</v>
      </c>
      <c r="AD26">
        <v>1</v>
      </c>
      <c r="AE26">
        <v>1</v>
      </c>
      <c r="AF26" t="s">
        <v>3</v>
      </c>
      <c r="AG26">
        <v>0.99</v>
      </c>
      <c r="AH26">
        <v>2</v>
      </c>
      <c r="AI26">
        <v>61636466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ROW(Source!A66)</f>
        <v>66</v>
      </c>
      <c r="B27">
        <v>61636467</v>
      </c>
      <c r="C27">
        <v>61635919</v>
      </c>
      <c r="D27">
        <v>60458134</v>
      </c>
      <c r="E27">
        <v>110</v>
      </c>
      <c r="F27">
        <v>1</v>
      </c>
      <c r="G27">
        <v>1</v>
      </c>
      <c r="H27">
        <v>1</v>
      </c>
      <c r="I27" t="s">
        <v>316</v>
      </c>
      <c r="J27" t="s">
        <v>3</v>
      </c>
      <c r="K27" t="s">
        <v>317</v>
      </c>
      <c r="L27">
        <v>1369</v>
      </c>
      <c r="N27">
        <v>1013</v>
      </c>
      <c r="O27" t="s">
        <v>315</v>
      </c>
      <c r="P27" t="s">
        <v>315</v>
      </c>
      <c r="Q27">
        <v>1</v>
      </c>
      <c r="X27">
        <v>47.29</v>
      </c>
      <c r="Y27">
        <v>0</v>
      </c>
      <c r="Z27">
        <v>0</v>
      </c>
      <c r="AA27">
        <v>0</v>
      </c>
      <c r="AB27">
        <v>386.55</v>
      </c>
      <c r="AC27">
        <v>0</v>
      </c>
      <c r="AD27">
        <v>1</v>
      </c>
      <c r="AE27">
        <v>1</v>
      </c>
      <c r="AF27" t="s">
        <v>3</v>
      </c>
      <c r="AG27">
        <v>47.29</v>
      </c>
      <c r="AH27">
        <v>2</v>
      </c>
      <c r="AI27">
        <v>61636467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ROW(Source!A66)</f>
        <v>66</v>
      </c>
      <c r="B28">
        <v>61636468</v>
      </c>
      <c r="C28">
        <v>61635919</v>
      </c>
      <c r="D28">
        <v>60458138</v>
      </c>
      <c r="E28">
        <v>110</v>
      </c>
      <c r="F28">
        <v>1</v>
      </c>
      <c r="G28">
        <v>1</v>
      </c>
      <c r="H28">
        <v>1</v>
      </c>
      <c r="I28" t="s">
        <v>318</v>
      </c>
      <c r="J28" t="s">
        <v>3</v>
      </c>
      <c r="K28" t="s">
        <v>319</v>
      </c>
      <c r="L28">
        <v>1369</v>
      </c>
      <c r="N28">
        <v>1013</v>
      </c>
      <c r="O28" t="s">
        <v>315</v>
      </c>
      <c r="P28" t="s">
        <v>315</v>
      </c>
      <c r="Q28">
        <v>1</v>
      </c>
      <c r="X28">
        <v>23.42</v>
      </c>
      <c r="Y28">
        <v>0</v>
      </c>
      <c r="Z28">
        <v>0</v>
      </c>
      <c r="AA28">
        <v>0</v>
      </c>
      <c r="AB28">
        <v>435.27</v>
      </c>
      <c r="AC28">
        <v>0</v>
      </c>
      <c r="AD28">
        <v>1</v>
      </c>
      <c r="AE28">
        <v>1</v>
      </c>
      <c r="AF28" t="s">
        <v>3</v>
      </c>
      <c r="AG28">
        <v>23.42</v>
      </c>
      <c r="AH28">
        <v>2</v>
      </c>
      <c r="AI28">
        <v>61636468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ROW(Source!A66)</f>
        <v>66</v>
      </c>
      <c r="B29">
        <v>61636469</v>
      </c>
      <c r="C29">
        <v>61635919</v>
      </c>
      <c r="D29">
        <v>60458140</v>
      </c>
      <c r="E29">
        <v>110</v>
      </c>
      <c r="F29">
        <v>1</v>
      </c>
      <c r="G29">
        <v>1</v>
      </c>
      <c r="H29">
        <v>1</v>
      </c>
      <c r="I29" t="s">
        <v>320</v>
      </c>
      <c r="J29" t="s">
        <v>3</v>
      </c>
      <c r="K29" t="s">
        <v>321</v>
      </c>
      <c r="L29">
        <v>1369</v>
      </c>
      <c r="N29">
        <v>1013</v>
      </c>
      <c r="O29" t="s">
        <v>315</v>
      </c>
      <c r="P29" t="s">
        <v>315</v>
      </c>
      <c r="Q29">
        <v>1</v>
      </c>
      <c r="X29">
        <v>23.42</v>
      </c>
      <c r="Y29">
        <v>0</v>
      </c>
      <c r="Z29">
        <v>0</v>
      </c>
      <c r="AA29">
        <v>0</v>
      </c>
      <c r="AB29">
        <v>500.24</v>
      </c>
      <c r="AC29">
        <v>0</v>
      </c>
      <c r="AD29">
        <v>1</v>
      </c>
      <c r="AE29">
        <v>1</v>
      </c>
      <c r="AF29" t="s">
        <v>3</v>
      </c>
      <c r="AG29">
        <v>23.42</v>
      </c>
      <c r="AH29">
        <v>2</v>
      </c>
      <c r="AI29">
        <v>61636469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ROW(Source!A66)</f>
        <v>66</v>
      </c>
      <c r="B30">
        <v>61636470</v>
      </c>
      <c r="C30">
        <v>61635919</v>
      </c>
      <c r="D30">
        <v>60458172</v>
      </c>
      <c r="E30">
        <v>110</v>
      </c>
      <c r="F30">
        <v>1</v>
      </c>
      <c r="G30">
        <v>1</v>
      </c>
      <c r="H30">
        <v>1</v>
      </c>
      <c r="I30" t="s">
        <v>322</v>
      </c>
      <c r="J30" t="s">
        <v>3</v>
      </c>
      <c r="K30" t="s">
        <v>323</v>
      </c>
      <c r="L30">
        <v>1191</v>
      </c>
      <c r="N30">
        <v>1013</v>
      </c>
      <c r="O30" t="s">
        <v>324</v>
      </c>
      <c r="P30" t="s">
        <v>324</v>
      </c>
      <c r="Q30">
        <v>1</v>
      </c>
      <c r="X30">
        <v>24.89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3</v>
      </c>
      <c r="AG30">
        <v>24.89</v>
      </c>
      <c r="AH30">
        <v>2</v>
      </c>
      <c r="AI30">
        <v>61636470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ROW(Source!A66)</f>
        <v>66</v>
      </c>
      <c r="B31">
        <v>61636471</v>
      </c>
      <c r="C31">
        <v>61635919</v>
      </c>
      <c r="D31">
        <v>60465258</v>
      </c>
      <c r="E31">
        <v>1</v>
      </c>
      <c r="F31">
        <v>1</v>
      </c>
      <c r="G31">
        <v>1</v>
      </c>
      <c r="H31">
        <v>2</v>
      </c>
      <c r="I31" t="s">
        <v>325</v>
      </c>
      <c r="J31" t="s">
        <v>326</v>
      </c>
      <c r="K31" t="s">
        <v>327</v>
      </c>
      <c r="L31">
        <v>1368</v>
      </c>
      <c r="N31">
        <v>1011</v>
      </c>
      <c r="O31" t="s">
        <v>194</v>
      </c>
      <c r="P31" t="s">
        <v>194</v>
      </c>
      <c r="Q31">
        <v>1</v>
      </c>
      <c r="X31">
        <v>0.75</v>
      </c>
      <c r="Y31">
        <v>0</v>
      </c>
      <c r="Z31">
        <v>1459.82</v>
      </c>
      <c r="AA31">
        <v>584.69000000000005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0.75</v>
      </c>
      <c r="AH31">
        <v>2</v>
      </c>
      <c r="AI31">
        <v>61636471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ROW(Source!A66)</f>
        <v>66</v>
      </c>
      <c r="B32">
        <v>61636472</v>
      </c>
      <c r="C32">
        <v>61635919</v>
      </c>
      <c r="D32">
        <v>60465392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194</v>
      </c>
      <c r="P32" t="s">
        <v>194</v>
      </c>
      <c r="Q32">
        <v>1</v>
      </c>
      <c r="X32">
        <v>0.81</v>
      </c>
      <c r="Y32">
        <v>0</v>
      </c>
      <c r="Z32">
        <v>15.06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0.81</v>
      </c>
      <c r="AH32">
        <v>2</v>
      </c>
      <c r="AI32">
        <v>61636472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ROW(Source!A66)</f>
        <v>66</v>
      </c>
      <c r="B33">
        <v>61636473</v>
      </c>
      <c r="C33">
        <v>61635919</v>
      </c>
      <c r="D33">
        <v>60465431</v>
      </c>
      <c r="E33">
        <v>1</v>
      </c>
      <c r="F33">
        <v>1</v>
      </c>
      <c r="G33">
        <v>1</v>
      </c>
      <c r="H33">
        <v>2</v>
      </c>
      <c r="I33" t="s">
        <v>332</v>
      </c>
      <c r="J33" t="s">
        <v>333</v>
      </c>
      <c r="K33" t="s">
        <v>334</v>
      </c>
      <c r="L33">
        <v>1368</v>
      </c>
      <c r="N33">
        <v>1011</v>
      </c>
      <c r="O33" t="s">
        <v>194</v>
      </c>
      <c r="P33" t="s">
        <v>194</v>
      </c>
      <c r="Q33">
        <v>1</v>
      </c>
      <c r="X33">
        <v>22.74</v>
      </c>
      <c r="Y33">
        <v>0</v>
      </c>
      <c r="Z33">
        <v>346.73</v>
      </c>
      <c r="AA33">
        <v>435.27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22.74</v>
      </c>
      <c r="AH33">
        <v>2</v>
      </c>
      <c r="AI33">
        <v>61636473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ROW(Source!A66)</f>
        <v>66</v>
      </c>
      <c r="B34">
        <v>61636474</v>
      </c>
      <c r="C34">
        <v>61635919</v>
      </c>
      <c r="D34">
        <v>60466143</v>
      </c>
      <c r="E34">
        <v>1</v>
      </c>
      <c r="F34">
        <v>1</v>
      </c>
      <c r="G34">
        <v>1</v>
      </c>
      <c r="H34">
        <v>2</v>
      </c>
      <c r="I34" t="s">
        <v>336</v>
      </c>
      <c r="J34" t="s">
        <v>337</v>
      </c>
      <c r="K34" t="s">
        <v>338</v>
      </c>
      <c r="L34">
        <v>1368</v>
      </c>
      <c r="N34">
        <v>1011</v>
      </c>
      <c r="O34" t="s">
        <v>194</v>
      </c>
      <c r="P34" t="s">
        <v>194</v>
      </c>
      <c r="Q34">
        <v>1</v>
      </c>
      <c r="X34">
        <v>0.59</v>
      </c>
      <c r="Y34">
        <v>0</v>
      </c>
      <c r="Z34">
        <v>477.92</v>
      </c>
      <c r="AA34">
        <v>435.27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0.59</v>
      </c>
      <c r="AH34">
        <v>2</v>
      </c>
      <c r="AI34">
        <v>61636474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ROW(Source!A66)</f>
        <v>66</v>
      </c>
      <c r="B35">
        <v>61636475</v>
      </c>
      <c r="C35">
        <v>61635919</v>
      </c>
      <c r="D35">
        <v>60466339</v>
      </c>
      <c r="E35">
        <v>1</v>
      </c>
      <c r="F35">
        <v>1</v>
      </c>
      <c r="G35">
        <v>1</v>
      </c>
      <c r="H35">
        <v>2</v>
      </c>
      <c r="I35" t="s">
        <v>339</v>
      </c>
      <c r="J35" t="s">
        <v>340</v>
      </c>
      <c r="K35" t="s">
        <v>341</v>
      </c>
      <c r="L35">
        <v>1368</v>
      </c>
      <c r="N35">
        <v>1011</v>
      </c>
      <c r="O35" t="s">
        <v>194</v>
      </c>
      <c r="P35" t="s">
        <v>194</v>
      </c>
      <c r="Q35">
        <v>1</v>
      </c>
      <c r="X35">
        <v>0.81</v>
      </c>
      <c r="Y35">
        <v>0</v>
      </c>
      <c r="Z35">
        <v>170.84</v>
      </c>
      <c r="AA35">
        <v>435.27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0.81</v>
      </c>
      <c r="AH35">
        <v>2</v>
      </c>
      <c r="AI35">
        <v>61636475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ROW(Source!A66)</f>
        <v>66</v>
      </c>
      <c r="B36">
        <v>61636476</v>
      </c>
      <c r="C36">
        <v>61635919</v>
      </c>
      <c r="D36">
        <v>60462598</v>
      </c>
      <c r="E36">
        <v>110</v>
      </c>
      <c r="F36">
        <v>1</v>
      </c>
      <c r="G36">
        <v>1</v>
      </c>
      <c r="H36">
        <v>3</v>
      </c>
      <c r="I36" t="s">
        <v>342</v>
      </c>
      <c r="J36" t="s">
        <v>3</v>
      </c>
      <c r="K36" t="s">
        <v>343</v>
      </c>
      <c r="L36">
        <v>1371</v>
      </c>
      <c r="N36">
        <v>1013</v>
      </c>
      <c r="O36" t="s">
        <v>126</v>
      </c>
      <c r="P36" t="s">
        <v>126</v>
      </c>
      <c r="Q36">
        <v>1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0</v>
      </c>
      <c r="AE36">
        <v>0</v>
      </c>
      <c r="AF36" t="s">
        <v>3</v>
      </c>
      <c r="AG36">
        <v>0</v>
      </c>
      <c r="AH36">
        <v>2</v>
      </c>
      <c r="AI36">
        <v>61636476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ROW(Source!A66)</f>
        <v>66</v>
      </c>
      <c r="B37">
        <v>61636477</v>
      </c>
      <c r="C37">
        <v>61635919</v>
      </c>
      <c r="D37">
        <v>60462607</v>
      </c>
      <c r="E37">
        <v>110</v>
      </c>
      <c r="F37">
        <v>1</v>
      </c>
      <c r="G37">
        <v>1</v>
      </c>
      <c r="H37">
        <v>3</v>
      </c>
      <c r="I37" t="s">
        <v>344</v>
      </c>
      <c r="J37" t="s">
        <v>3</v>
      </c>
      <c r="K37" t="s">
        <v>345</v>
      </c>
      <c r="L37">
        <v>1371</v>
      </c>
      <c r="N37">
        <v>1013</v>
      </c>
      <c r="O37" t="s">
        <v>126</v>
      </c>
      <c r="P37" t="s">
        <v>126</v>
      </c>
      <c r="Q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 t="s">
        <v>3</v>
      </c>
      <c r="AG37">
        <v>0</v>
      </c>
      <c r="AH37">
        <v>2</v>
      </c>
      <c r="AI37">
        <v>61636477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ROW(Source!A66)</f>
        <v>66</v>
      </c>
      <c r="B38">
        <v>61636478</v>
      </c>
      <c r="C38">
        <v>61635919</v>
      </c>
      <c r="D38">
        <v>60462763</v>
      </c>
      <c r="E38">
        <v>110</v>
      </c>
      <c r="F38">
        <v>1</v>
      </c>
      <c r="G38">
        <v>1</v>
      </c>
      <c r="H38">
        <v>3</v>
      </c>
      <c r="I38" t="s">
        <v>346</v>
      </c>
      <c r="J38" t="s">
        <v>3</v>
      </c>
      <c r="K38" t="s">
        <v>347</v>
      </c>
      <c r="L38">
        <v>1477</v>
      </c>
      <c r="N38">
        <v>1013</v>
      </c>
      <c r="O38" t="s">
        <v>23</v>
      </c>
      <c r="P38" t="s">
        <v>28</v>
      </c>
      <c r="Q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2</v>
      </c>
      <c r="AI38">
        <v>61636478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ROW(Source!A67)</f>
        <v>67</v>
      </c>
      <c r="B39">
        <v>61635960</v>
      </c>
      <c r="C39">
        <v>61635950</v>
      </c>
      <c r="D39">
        <v>37064878</v>
      </c>
      <c r="E39">
        <v>108</v>
      </c>
      <c r="F39">
        <v>1</v>
      </c>
      <c r="G39">
        <v>1</v>
      </c>
      <c r="H39">
        <v>1</v>
      </c>
      <c r="I39" t="s">
        <v>368</v>
      </c>
      <c r="J39" t="s">
        <v>3</v>
      </c>
      <c r="K39" t="s">
        <v>369</v>
      </c>
      <c r="L39">
        <v>1191</v>
      </c>
      <c r="N39">
        <v>1013</v>
      </c>
      <c r="O39" t="s">
        <v>324</v>
      </c>
      <c r="P39" t="s">
        <v>324</v>
      </c>
      <c r="Q39">
        <v>1</v>
      </c>
      <c r="X39">
        <v>31.28</v>
      </c>
      <c r="Y39">
        <v>0</v>
      </c>
      <c r="Z39">
        <v>0</v>
      </c>
      <c r="AA39">
        <v>0</v>
      </c>
      <c r="AB39">
        <v>425.53</v>
      </c>
      <c r="AC39">
        <v>0</v>
      </c>
      <c r="AD39">
        <v>1</v>
      </c>
      <c r="AE39">
        <v>1</v>
      </c>
      <c r="AF39" t="s">
        <v>3</v>
      </c>
      <c r="AG39">
        <v>31.28</v>
      </c>
      <c r="AH39">
        <v>2</v>
      </c>
      <c r="AI39">
        <v>61635951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ROW(Source!A67)</f>
        <v>67</v>
      </c>
      <c r="B40">
        <v>61635961</v>
      </c>
      <c r="C40">
        <v>61635950</v>
      </c>
      <c r="D40">
        <v>37064876</v>
      </c>
      <c r="E40">
        <v>108</v>
      </c>
      <c r="F40">
        <v>1</v>
      </c>
      <c r="G40">
        <v>1</v>
      </c>
      <c r="H40">
        <v>1</v>
      </c>
      <c r="I40" t="s">
        <v>322</v>
      </c>
      <c r="J40" t="s">
        <v>3</v>
      </c>
      <c r="K40" t="s">
        <v>323</v>
      </c>
      <c r="L40">
        <v>1191</v>
      </c>
      <c r="N40">
        <v>1013</v>
      </c>
      <c r="O40" t="s">
        <v>324</v>
      </c>
      <c r="P40" t="s">
        <v>324</v>
      </c>
      <c r="Q40">
        <v>1</v>
      </c>
      <c r="X40">
        <v>0.7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3</v>
      </c>
      <c r="AG40">
        <v>0.7</v>
      </c>
      <c r="AH40">
        <v>2</v>
      </c>
      <c r="AI40">
        <v>61635952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ROW(Source!A67)</f>
        <v>67</v>
      </c>
      <c r="B41">
        <v>61635962</v>
      </c>
      <c r="C41">
        <v>61635950</v>
      </c>
      <c r="D41">
        <v>56571417</v>
      </c>
      <c r="E41">
        <v>1</v>
      </c>
      <c r="F41">
        <v>1</v>
      </c>
      <c r="G41">
        <v>1</v>
      </c>
      <c r="H41">
        <v>2</v>
      </c>
      <c r="I41" t="s">
        <v>325</v>
      </c>
      <c r="J41" t="s">
        <v>326</v>
      </c>
      <c r="K41" t="s">
        <v>327</v>
      </c>
      <c r="L41">
        <v>1368</v>
      </c>
      <c r="N41">
        <v>1011</v>
      </c>
      <c r="O41" t="s">
        <v>194</v>
      </c>
      <c r="P41" t="s">
        <v>194</v>
      </c>
      <c r="Q41">
        <v>1</v>
      </c>
      <c r="X41">
        <v>0.35</v>
      </c>
      <c r="Y41">
        <v>0</v>
      </c>
      <c r="Z41">
        <v>1459.82</v>
      </c>
      <c r="AA41">
        <v>584.69000000000005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0.35</v>
      </c>
      <c r="AH41">
        <v>2</v>
      </c>
      <c r="AI41">
        <v>61635953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ROW(Source!A67)</f>
        <v>67</v>
      </c>
      <c r="B42">
        <v>61635963</v>
      </c>
      <c r="C42">
        <v>61635950</v>
      </c>
      <c r="D42">
        <v>56572833</v>
      </c>
      <c r="E42">
        <v>1</v>
      </c>
      <c r="F42">
        <v>1</v>
      </c>
      <c r="G42">
        <v>1</v>
      </c>
      <c r="H42">
        <v>2</v>
      </c>
      <c r="I42" t="s">
        <v>336</v>
      </c>
      <c r="J42" t="s">
        <v>337</v>
      </c>
      <c r="K42" t="s">
        <v>338</v>
      </c>
      <c r="L42">
        <v>1368</v>
      </c>
      <c r="N42">
        <v>1011</v>
      </c>
      <c r="O42" t="s">
        <v>194</v>
      </c>
      <c r="P42" t="s">
        <v>194</v>
      </c>
      <c r="Q42">
        <v>1</v>
      </c>
      <c r="X42">
        <v>0.35</v>
      </c>
      <c r="Y42">
        <v>0</v>
      </c>
      <c r="Z42">
        <v>477.92</v>
      </c>
      <c r="AA42">
        <v>435.27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0.35</v>
      </c>
      <c r="AH42">
        <v>2</v>
      </c>
      <c r="AI42">
        <v>61635954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ROW(Source!A67)</f>
        <v>67</v>
      </c>
      <c r="B43">
        <v>61635964</v>
      </c>
      <c r="C43">
        <v>61635950</v>
      </c>
      <c r="D43">
        <v>56573153</v>
      </c>
      <c r="E43">
        <v>1</v>
      </c>
      <c r="F43">
        <v>1</v>
      </c>
      <c r="G43">
        <v>1</v>
      </c>
      <c r="H43">
        <v>2</v>
      </c>
      <c r="I43" t="s">
        <v>350</v>
      </c>
      <c r="J43" t="s">
        <v>351</v>
      </c>
      <c r="K43" t="s">
        <v>352</v>
      </c>
      <c r="L43">
        <v>1368</v>
      </c>
      <c r="N43">
        <v>1011</v>
      </c>
      <c r="O43" t="s">
        <v>194</v>
      </c>
      <c r="P43" t="s">
        <v>194</v>
      </c>
      <c r="Q43">
        <v>1</v>
      </c>
      <c r="X43">
        <v>2.16</v>
      </c>
      <c r="Y43">
        <v>0</v>
      </c>
      <c r="Z43">
        <v>25.86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2.16</v>
      </c>
      <c r="AH43">
        <v>2</v>
      </c>
      <c r="AI43">
        <v>61635955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ROW(Source!A67)</f>
        <v>67</v>
      </c>
      <c r="B44">
        <v>61635965</v>
      </c>
      <c r="C44">
        <v>61635950</v>
      </c>
      <c r="D44">
        <v>56577966</v>
      </c>
      <c r="E44">
        <v>1</v>
      </c>
      <c r="F44">
        <v>1</v>
      </c>
      <c r="G44">
        <v>1</v>
      </c>
      <c r="H44">
        <v>3</v>
      </c>
      <c r="I44" t="s">
        <v>370</v>
      </c>
      <c r="J44" t="s">
        <v>371</v>
      </c>
      <c r="K44" t="s">
        <v>372</v>
      </c>
      <c r="L44">
        <v>1383</v>
      </c>
      <c r="N44">
        <v>1013</v>
      </c>
      <c r="O44" t="s">
        <v>373</v>
      </c>
      <c r="P44" t="s">
        <v>373</v>
      </c>
      <c r="Q44">
        <v>1</v>
      </c>
      <c r="X44">
        <v>1.1488</v>
      </c>
      <c r="Y44">
        <v>5.4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1.1488</v>
      </c>
      <c r="AH44">
        <v>2</v>
      </c>
      <c r="AI44">
        <v>61635956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ROW(Source!A67)</f>
        <v>67</v>
      </c>
      <c r="B45">
        <v>61635966</v>
      </c>
      <c r="C45">
        <v>61635950</v>
      </c>
      <c r="D45">
        <v>56579266</v>
      </c>
      <c r="E45">
        <v>1</v>
      </c>
      <c r="F45">
        <v>1</v>
      </c>
      <c r="G45">
        <v>1</v>
      </c>
      <c r="H45">
        <v>3</v>
      </c>
      <c r="I45" t="s">
        <v>374</v>
      </c>
      <c r="J45" t="s">
        <v>375</v>
      </c>
      <c r="K45" t="s">
        <v>376</v>
      </c>
      <c r="L45">
        <v>1346</v>
      </c>
      <c r="N45">
        <v>1009</v>
      </c>
      <c r="O45" t="s">
        <v>176</v>
      </c>
      <c r="P45" t="s">
        <v>176</v>
      </c>
      <c r="Q45">
        <v>1</v>
      </c>
      <c r="X45">
        <v>0.96</v>
      </c>
      <c r="Y45">
        <v>155.63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0.96</v>
      </c>
      <c r="AH45">
        <v>2</v>
      </c>
      <c r="AI45">
        <v>61635957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ROW(Source!A67)</f>
        <v>67</v>
      </c>
      <c r="B46">
        <v>61635967</v>
      </c>
      <c r="C46">
        <v>61635950</v>
      </c>
      <c r="D46">
        <v>56609313</v>
      </c>
      <c r="E46">
        <v>1</v>
      </c>
      <c r="F46">
        <v>1</v>
      </c>
      <c r="G46">
        <v>1</v>
      </c>
      <c r="H46">
        <v>3</v>
      </c>
      <c r="I46" t="s">
        <v>377</v>
      </c>
      <c r="J46" t="s">
        <v>378</v>
      </c>
      <c r="K46" t="s">
        <v>379</v>
      </c>
      <c r="L46">
        <v>1346</v>
      </c>
      <c r="N46">
        <v>1009</v>
      </c>
      <c r="O46" t="s">
        <v>176</v>
      </c>
      <c r="P46" t="s">
        <v>176</v>
      </c>
      <c r="Q46">
        <v>1</v>
      </c>
      <c r="X46">
        <v>0.55000000000000004</v>
      </c>
      <c r="Y46">
        <v>160.07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0.55000000000000004</v>
      </c>
      <c r="AH46">
        <v>2</v>
      </c>
      <c r="AI46">
        <v>61635958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ROW(Source!A67)</f>
        <v>67</v>
      </c>
      <c r="B47">
        <v>61635968</v>
      </c>
      <c r="C47">
        <v>61635950</v>
      </c>
      <c r="D47">
        <v>56223463</v>
      </c>
      <c r="E47">
        <v>108</v>
      </c>
      <c r="F47">
        <v>1</v>
      </c>
      <c r="G47">
        <v>1</v>
      </c>
      <c r="H47">
        <v>3</v>
      </c>
      <c r="I47" t="s">
        <v>363</v>
      </c>
      <c r="J47" t="s">
        <v>3</v>
      </c>
      <c r="K47" t="s">
        <v>364</v>
      </c>
      <c r="L47">
        <v>3277935</v>
      </c>
      <c r="N47">
        <v>1013</v>
      </c>
      <c r="O47" t="s">
        <v>365</v>
      </c>
      <c r="P47" t="s">
        <v>365</v>
      </c>
      <c r="Q47">
        <v>1</v>
      </c>
      <c r="X47">
        <v>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3</v>
      </c>
      <c r="AG47">
        <v>2</v>
      </c>
      <c r="AH47">
        <v>2</v>
      </c>
      <c r="AI47">
        <v>61635959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ROW(Source!A68)</f>
        <v>68</v>
      </c>
      <c r="B48">
        <v>61635980</v>
      </c>
      <c r="C48">
        <v>61635969</v>
      </c>
      <c r="D48">
        <v>37064878</v>
      </c>
      <c r="E48">
        <v>108</v>
      </c>
      <c r="F48">
        <v>1</v>
      </c>
      <c r="G48">
        <v>1</v>
      </c>
      <c r="H48">
        <v>1</v>
      </c>
      <c r="I48" t="s">
        <v>368</v>
      </c>
      <c r="J48" t="s">
        <v>3</v>
      </c>
      <c r="K48" t="s">
        <v>369</v>
      </c>
      <c r="L48">
        <v>1191</v>
      </c>
      <c r="N48">
        <v>1013</v>
      </c>
      <c r="O48" t="s">
        <v>324</v>
      </c>
      <c r="P48" t="s">
        <v>324</v>
      </c>
      <c r="Q48">
        <v>1</v>
      </c>
      <c r="X48">
        <v>11.68</v>
      </c>
      <c r="Y48">
        <v>0</v>
      </c>
      <c r="Z48">
        <v>0</v>
      </c>
      <c r="AA48">
        <v>0</v>
      </c>
      <c r="AB48">
        <v>425.53</v>
      </c>
      <c r="AC48">
        <v>0</v>
      </c>
      <c r="AD48">
        <v>1</v>
      </c>
      <c r="AE48">
        <v>1</v>
      </c>
      <c r="AF48" t="s">
        <v>3</v>
      </c>
      <c r="AG48">
        <v>11.68</v>
      </c>
      <c r="AH48">
        <v>2</v>
      </c>
      <c r="AI48">
        <v>61635970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ROW(Source!A68)</f>
        <v>68</v>
      </c>
      <c r="B49">
        <v>61635981</v>
      </c>
      <c r="C49">
        <v>61635969</v>
      </c>
      <c r="D49">
        <v>37064876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3</v>
      </c>
      <c r="K49" t="s">
        <v>323</v>
      </c>
      <c r="L49">
        <v>1191</v>
      </c>
      <c r="N49">
        <v>1013</v>
      </c>
      <c r="O49" t="s">
        <v>324</v>
      </c>
      <c r="P49" t="s">
        <v>324</v>
      </c>
      <c r="Q49">
        <v>1</v>
      </c>
      <c r="X49">
        <v>0.22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3</v>
      </c>
      <c r="AG49">
        <v>0.22</v>
      </c>
      <c r="AH49">
        <v>2</v>
      </c>
      <c r="AI49">
        <v>61635971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ROW(Source!A68)</f>
        <v>68</v>
      </c>
      <c r="B50">
        <v>61635982</v>
      </c>
      <c r="C50">
        <v>61635969</v>
      </c>
      <c r="D50">
        <v>56571417</v>
      </c>
      <c r="E50">
        <v>1</v>
      </c>
      <c r="F50">
        <v>1</v>
      </c>
      <c r="G50">
        <v>1</v>
      </c>
      <c r="H50">
        <v>2</v>
      </c>
      <c r="I50" t="s">
        <v>325</v>
      </c>
      <c r="J50" t="s">
        <v>326</v>
      </c>
      <c r="K50" t="s">
        <v>327</v>
      </c>
      <c r="L50">
        <v>1368</v>
      </c>
      <c r="N50">
        <v>1011</v>
      </c>
      <c r="O50" t="s">
        <v>194</v>
      </c>
      <c r="P50" t="s">
        <v>194</v>
      </c>
      <c r="Q50">
        <v>1</v>
      </c>
      <c r="X50">
        <v>0.11</v>
      </c>
      <c r="Y50">
        <v>0</v>
      </c>
      <c r="Z50">
        <v>1459.82</v>
      </c>
      <c r="AA50">
        <v>584.69000000000005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0.11</v>
      </c>
      <c r="AH50">
        <v>2</v>
      </c>
      <c r="AI50">
        <v>61635972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ROW(Source!A68)</f>
        <v>68</v>
      </c>
      <c r="B51">
        <v>61635983</v>
      </c>
      <c r="C51">
        <v>61635969</v>
      </c>
      <c r="D51">
        <v>56572833</v>
      </c>
      <c r="E51">
        <v>1</v>
      </c>
      <c r="F51">
        <v>1</v>
      </c>
      <c r="G51">
        <v>1</v>
      </c>
      <c r="H51">
        <v>2</v>
      </c>
      <c r="I51" t="s">
        <v>336</v>
      </c>
      <c r="J51" t="s">
        <v>337</v>
      </c>
      <c r="K51" t="s">
        <v>338</v>
      </c>
      <c r="L51">
        <v>1368</v>
      </c>
      <c r="N51">
        <v>1011</v>
      </c>
      <c r="O51" t="s">
        <v>194</v>
      </c>
      <c r="P51" t="s">
        <v>194</v>
      </c>
      <c r="Q51">
        <v>1</v>
      </c>
      <c r="X51">
        <v>0.11</v>
      </c>
      <c r="Y51">
        <v>0</v>
      </c>
      <c r="Z51">
        <v>477.92</v>
      </c>
      <c r="AA51">
        <v>435.27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0.11</v>
      </c>
      <c r="AH51">
        <v>2</v>
      </c>
      <c r="AI51">
        <v>61635973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ROW(Source!A68)</f>
        <v>68</v>
      </c>
      <c r="B52">
        <v>61635984</v>
      </c>
      <c r="C52">
        <v>61635969</v>
      </c>
      <c r="D52">
        <v>56578257</v>
      </c>
      <c r="E52">
        <v>1</v>
      </c>
      <c r="F52">
        <v>1</v>
      </c>
      <c r="G52">
        <v>1</v>
      </c>
      <c r="H52">
        <v>3</v>
      </c>
      <c r="I52" t="s">
        <v>380</v>
      </c>
      <c r="J52" t="s">
        <v>381</v>
      </c>
      <c r="K52" t="s">
        <v>382</v>
      </c>
      <c r="L52">
        <v>1301</v>
      </c>
      <c r="N52">
        <v>1003</v>
      </c>
      <c r="O52" t="s">
        <v>383</v>
      </c>
      <c r="P52" t="s">
        <v>383</v>
      </c>
      <c r="Q52">
        <v>1</v>
      </c>
      <c r="X52">
        <v>33.33</v>
      </c>
      <c r="Y52">
        <v>5.87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33.33</v>
      </c>
      <c r="AH52">
        <v>2</v>
      </c>
      <c r="AI52">
        <v>61635974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ROW(Source!A68)</f>
        <v>68</v>
      </c>
      <c r="B53">
        <v>61635985</v>
      </c>
      <c r="C53">
        <v>61635969</v>
      </c>
      <c r="D53">
        <v>56578556</v>
      </c>
      <c r="E53">
        <v>1</v>
      </c>
      <c r="F53">
        <v>1</v>
      </c>
      <c r="G53">
        <v>1</v>
      </c>
      <c r="H53">
        <v>3</v>
      </c>
      <c r="I53" t="s">
        <v>384</v>
      </c>
      <c r="J53" t="s">
        <v>385</v>
      </c>
      <c r="K53" t="s">
        <v>386</v>
      </c>
      <c r="L53">
        <v>1348</v>
      </c>
      <c r="N53">
        <v>1009</v>
      </c>
      <c r="O53" t="s">
        <v>356</v>
      </c>
      <c r="P53" t="s">
        <v>356</v>
      </c>
      <c r="Q53">
        <v>1000</v>
      </c>
      <c r="X53">
        <v>1.2600000000000001E-3</v>
      </c>
      <c r="Y53">
        <v>43821.53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1.2600000000000001E-3</v>
      </c>
      <c r="AH53">
        <v>2</v>
      </c>
      <c r="AI53">
        <v>61635975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ROW(Source!A68)</f>
        <v>68</v>
      </c>
      <c r="B54">
        <v>61635986</v>
      </c>
      <c r="C54">
        <v>61635969</v>
      </c>
      <c r="D54">
        <v>56610084</v>
      </c>
      <c r="E54">
        <v>1</v>
      </c>
      <c r="F54">
        <v>1</v>
      </c>
      <c r="G54">
        <v>1</v>
      </c>
      <c r="H54">
        <v>3</v>
      </c>
      <c r="I54" t="s">
        <v>357</v>
      </c>
      <c r="J54" t="s">
        <v>358</v>
      </c>
      <c r="K54" t="s">
        <v>359</v>
      </c>
      <c r="L54">
        <v>1346</v>
      </c>
      <c r="N54">
        <v>1009</v>
      </c>
      <c r="O54" t="s">
        <v>176</v>
      </c>
      <c r="P54" t="s">
        <v>176</v>
      </c>
      <c r="Q54">
        <v>1</v>
      </c>
      <c r="X54">
        <v>0.02</v>
      </c>
      <c r="Y54">
        <v>79.88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0.02</v>
      </c>
      <c r="AH54">
        <v>2</v>
      </c>
      <c r="AI54">
        <v>61635976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ROW(Source!A68)</f>
        <v>68</v>
      </c>
      <c r="B55">
        <v>61635987</v>
      </c>
      <c r="C55">
        <v>61635969</v>
      </c>
      <c r="D55">
        <v>56622659</v>
      </c>
      <c r="E55">
        <v>1</v>
      </c>
      <c r="F55">
        <v>1</v>
      </c>
      <c r="G55">
        <v>1</v>
      </c>
      <c r="H55">
        <v>3</v>
      </c>
      <c r="I55" t="s">
        <v>387</v>
      </c>
      <c r="J55" t="s">
        <v>388</v>
      </c>
      <c r="K55" t="s">
        <v>389</v>
      </c>
      <c r="L55">
        <v>1425</v>
      </c>
      <c r="N55">
        <v>1013</v>
      </c>
      <c r="O55" t="s">
        <v>38</v>
      </c>
      <c r="P55" t="s">
        <v>38</v>
      </c>
      <c r="Q55">
        <v>1</v>
      </c>
      <c r="X55">
        <v>0.05</v>
      </c>
      <c r="Y55">
        <v>4363.5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0.05</v>
      </c>
      <c r="AH55">
        <v>2</v>
      </c>
      <c r="AI55">
        <v>61635977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ROW(Source!A68)</f>
        <v>68</v>
      </c>
      <c r="B56">
        <v>61635988</v>
      </c>
      <c r="C56">
        <v>61635969</v>
      </c>
      <c r="D56">
        <v>56622741</v>
      </c>
      <c r="E56">
        <v>1</v>
      </c>
      <c r="F56">
        <v>1</v>
      </c>
      <c r="G56">
        <v>1</v>
      </c>
      <c r="H56">
        <v>3</v>
      </c>
      <c r="I56" t="s">
        <v>390</v>
      </c>
      <c r="J56" t="s">
        <v>391</v>
      </c>
      <c r="K56" t="s">
        <v>392</v>
      </c>
      <c r="L56">
        <v>1407</v>
      </c>
      <c r="N56">
        <v>1013</v>
      </c>
      <c r="O56" t="s">
        <v>393</v>
      </c>
      <c r="P56" t="s">
        <v>393</v>
      </c>
      <c r="Q56">
        <v>1</v>
      </c>
      <c r="X56">
        <v>1.2200000000000001E-2</v>
      </c>
      <c r="Y56">
        <v>4130.12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1.2200000000000001E-2</v>
      </c>
      <c r="AH56">
        <v>2</v>
      </c>
      <c r="AI56">
        <v>61635978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ROW(Source!A68)</f>
        <v>68</v>
      </c>
      <c r="B57">
        <v>61635989</v>
      </c>
      <c r="C57">
        <v>61635969</v>
      </c>
      <c r="D57">
        <v>56223463</v>
      </c>
      <c r="E57">
        <v>108</v>
      </c>
      <c r="F57">
        <v>1</v>
      </c>
      <c r="G57">
        <v>1</v>
      </c>
      <c r="H57">
        <v>3</v>
      </c>
      <c r="I57" t="s">
        <v>363</v>
      </c>
      <c r="J57" t="s">
        <v>3</v>
      </c>
      <c r="K57" t="s">
        <v>364</v>
      </c>
      <c r="L57">
        <v>3277935</v>
      </c>
      <c r="N57">
        <v>1013</v>
      </c>
      <c r="O57" t="s">
        <v>365</v>
      </c>
      <c r="P57" t="s">
        <v>365</v>
      </c>
      <c r="Q57">
        <v>1</v>
      </c>
      <c r="X57">
        <v>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 t="s">
        <v>3</v>
      </c>
      <c r="AG57">
        <v>2</v>
      </c>
      <c r="AH57">
        <v>2</v>
      </c>
      <c r="AI57">
        <v>61635979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ROW(Source!A69)</f>
        <v>69</v>
      </c>
      <c r="B58">
        <v>61636479</v>
      </c>
      <c r="C58">
        <v>61635990</v>
      </c>
      <c r="D58">
        <v>60458000</v>
      </c>
      <c r="E58">
        <v>110</v>
      </c>
      <c r="F58">
        <v>1</v>
      </c>
      <c r="G58">
        <v>1</v>
      </c>
      <c r="H58">
        <v>1</v>
      </c>
      <c r="I58" t="s">
        <v>348</v>
      </c>
      <c r="J58" t="s">
        <v>3</v>
      </c>
      <c r="K58" t="s">
        <v>349</v>
      </c>
      <c r="L58">
        <v>1191</v>
      </c>
      <c r="N58">
        <v>1013</v>
      </c>
      <c r="O58" t="s">
        <v>324</v>
      </c>
      <c r="P58" t="s">
        <v>324</v>
      </c>
      <c r="Q58">
        <v>1</v>
      </c>
      <c r="X58">
        <v>41.2</v>
      </c>
      <c r="Y58">
        <v>0</v>
      </c>
      <c r="Z58">
        <v>0</v>
      </c>
      <c r="AA58">
        <v>0</v>
      </c>
      <c r="AB58">
        <v>435.27</v>
      </c>
      <c r="AC58">
        <v>0</v>
      </c>
      <c r="AD58">
        <v>1</v>
      </c>
      <c r="AE58">
        <v>1</v>
      </c>
      <c r="AF58" t="s">
        <v>3</v>
      </c>
      <c r="AG58">
        <v>41.2</v>
      </c>
      <c r="AH58">
        <v>2</v>
      </c>
      <c r="AI58">
        <v>61636479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ROW(Source!A69)</f>
        <v>69</v>
      </c>
      <c r="B59">
        <v>61636480</v>
      </c>
      <c r="C59">
        <v>61635990</v>
      </c>
      <c r="D59">
        <v>60458172</v>
      </c>
      <c r="E59">
        <v>110</v>
      </c>
      <c r="F59">
        <v>1</v>
      </c>
      <c r="G59">
        <v>1</v>
      </c>
      <c r="H59">
        <v>1</v>
      </c>
      <c r="I59" t="s">
        <v>322</v>
      </c>
      <c r="J59" t="s">
        <v>3</v>
      </c>
      <c r="K59" t="s">
        <v>323</v>
      </c>
      <c r="L59">
        <v>1191</v>
      </c>
      <c r="N59">
        <v>1013</v>
      </c>
      <c r="O59" t="s">
        <v>324</v>
      </c>
      <c r="P59" t="s">
        <v>324</v>
      </c>
      <c r="Q59">
        <v>1</v>
      </c>
      <c r="X59">
        <v>0.2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2</v>
      </c>
      <c r="AF59" t="s">
        <v>3</v>
      </c>
      <c r="AG59">
        <v>0.2</v>
      </c>
      <c r="AH59">
        <v>2</v>
      </c>
      <c r="AI59">
        <v>61636480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ROW(Source!A69)</f>
        <v>69</v>
      </c>
      <c r="B60">
        <v>61636481</v>
      </c>
      <c r="C60">
        <v>61635990</v>
      </c>
      <c r="D60">
        <v>60465258</v>
      </c>
      <c r="E60">
        <v>1</v>
      </c>
      <c r="F60">
        <v>1</v>
      </c>
      <c r="G60">
        <v>1</v>
      </c>
      <c r="H60">
        <v>2</v>
      </c>
      <c r="I60" t="s">
        <v>325</v>
      </c>
      <c r="J60" t="s">
        <v>326</v>
      </c>
      <c r="K60" t="s">
        <v>327</v>
      </c>
      <c r="L60">
        <v>1368</v>
      </c>
      <c r="N60">
        <v>1011</v>
      </c>
      <c r="O60" t="s">
        <v>194</v>
      </c>
      <c r="P60" t="s">
        <v>194</v>
      </c>
      <c r="Q60">
        <v>1</v>
      </c>
      <c r="X60">
        <v>0.1</v>
      </c>
      <c r="Y60">
        <v>0</v>
      </c>
      <c r="Z60">
        <v>1459.82</v>
      </c>
      <c r="AA60">
        <v>584.69000000000005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0.1</v>
      </c>
      <c r="AH60">
        <v>2</v>
      </c>
      <c r="AI60">
        <v>61636481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ROW(Source!A69)</f>
        <v>69</v>
      </c>
      <c r="B61">
        <v>61636482</v>
      </c>
      <c r="C61">
        <v>61635990</v>
      </c>
      <c r="D61">
        <v>60466143</v>
      </c>
      <c r="E61">
        <v>1</v>
      </c>
      <c r="F61">
        <v>1</v>
      </c>
      <c r="G61">
        <v>1</v>
      </c>
      <c r="H61">
        <v>2</v>
      </c>
      <c r="I61" t="s">
        <v>336</v>
      </c>
      <c r="J61" t="s">
        <v>337</v>
      </c>
      <c r="K61" t="s">
        <v>338</v>
      </c>
      <c r="L61">
        <v>1368</v>
      </c>
      <c r="N61">
        <v>1011</v>
      </c>
      <c r="O61" t="s">
        <v>194</v>
      </c>
      <c r="P61" t="s">
        <v>194</v>
      </c>
      <c r="Q61">
        <v>1</v>
      </c>
      <c r="X61">
        <v>0.1</v>
      </c>
      <c r="Y61">
        <v>0</v>
      </c>
      <c r="Z61">
        <v>477.92</v>
      </c>
      <c r="AA61">
        <v>435.27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0.1</v>
      </c>
      <c r="AH61">
        <v>2</v>
      </c>
      <c r="AI61">
        <v>61636482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ROW(Source!A69)</f>
        <v>69</v>
      </c>
      <c r="B62">
        <v>61636483</v>
      </c>
      <c r="C62">
        <v>61635990</v>
      </c>
      <c r="D62">
        <v>60466337</v>
      </c>
      <c r="E62">
        <v>1</v>
      </c>
      <c r="F62">
        <v>1</v>
      </c>
      <c r="G62">
        <v>1</v>
      </c>
      <c r="H62">
        <v>2</v>
      </c>
      <c r="I62" t="s">
        <v>350</v>
      </c>
      <c r="J62" t="s">
        <v>351</v>
      </c>
      <c r="K62" t="s">
        <v>352</v>
      </c>
      <c r="L62">
        <v>1368</v>
      </c>
      <c r="N62">
        <v>1011</v>
      </c>
      <c r="O62" t="s">
        <v>194</v>
      </c>
      <c r="P62" t="s">
        <v>194</v>
      </c>
      <c r="Q62">
        <v>1</v>
      </c>
      <c r="X62">
        <v>0.16</v>
      </c>
      <c r="Y62">
        <v>0</v>
      </c>
      <c r="Z62">
        <v>25.86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0.16</v>
      </c>
      <c r="AH62">
        <v>2</v>
      </c>
      <c r="AI62">
        <v>61636483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ROW(Source!A69)</f>
        <v>69</v>
      </c>
      <c r="B63">
        <v>61636484</v>
      </c>
      <c r="C63">
        <v>61635990</v>
      </c>
      <c r="D63">
        <v>60539739</v>
      </c>
      <c r="E63">
        <v>1</v>
      </c>
      <c r="F63">
        <v>1</v>
      </c>
      <c r="G63">
        <v>1</v>
      </c>
      <c r="H63">
        <v>3</v>
      </c>
      <c r="I63" t="s">
        <v>353</v>
      </c>
      <c r="J63" t="s">
        <v>354</v>
      </c>
      <c r="K63" t="s">
        <v>355</v>
      </c>
      <c r="L63">
        <v>1348</v>
      </c>
      <c r="N63">
        <v>1009</v>
      </c>
      <c r="O63" t="s">
        <v>356</v>
      </c>
      <c r="P63" t="s">
        <v>356</v>
      </c>
      <c r="Q63">
        <v>1000</v>
      </c>
      <c r="X63">
        <v>3.0000000000000001E-3</v>
      </c>
      <c r="Y63">
        <v>70310.45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3.0000000000000001E-3</v>
      </c>
      <c r="AH63">
        <v>2</v>
      </c>
      <c r="AI63">
        <v>61636484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ROW(Source!A69)</f>
        <v>69</v>
      </c>
      <c r="B64">
        <v>61636485</v>
      </c>
      <c r="C64">
        <v>61635990</v>
      </c>
      <c r="D64">
        <v>60549173</v>
      </c>
      <c r="E64">
        <v>1</v>
      </c>
      <c r="F64">
        <v>1</v>
      </c>
      <c r="G64">
        <v>1</v>
      </c>
      <c r="H64">
        <v>3</v>
      </c>
      <c r="I64" t="s">
        <v>357</v>
      </c>
      <c r="J64" t="s">
        <v>358</v>
      </c>
      <c r="K64" t="s">
        <v>359</v>
      </c>
      <c r="L64">
        <v>1346</v>
      </c>
      <c r="N64">
        <v>1009</v>
      </c>
      <c r="O64" t="s">
        <v>176</v>
      </c>
      <c r="P64" t="s">
        <v>176</v>
      </c>
      <c r="Q64">
        <v>1</v>
      </c>
      <c r="X64">
        <v>0.8</v>
      </c>
      <c r="Y64">
        <v>79.88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0.8</v>
      </c>
      <c r="AH64">
        <v>2</v>
      </c>
      <c r="AI64">
        <v>61636485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ROW(Source!A69)</f>
        <v>69</v>
      </c>
      <c r="B65">
        <v>61636486</v>
      </c>
      <c r="C65">
        <v>61635990</v>
      </c>
      <c r="D65">
        <v>60559328</v>
      </c>
      <c r="E65">
        <v>1</v>
      </c>
      <c r="F65">
        <v>1</v>
      </c>
      <c r="G65">
        <v>1</v>
      </c>
      <c r="H65">
        <v>3</v>
      </c>
      <c r="I65" t="s">
        <v>360</v>
      </c>
      <c r="J65" t="s">
        <v>361</v>
      </c>
      <c r="K65" t="s">
        <v>362</v>
      </c>
      <c r="L65">
        <v>1425</v>
      </c>
      <c r="N65">
        <v>1013</v>
      </c>
      <c r="O65" t="s">
        <v>38</v>
      </c>
      <c r="P65" t="s">
        <v>38</v>
      </c>
      <c r="Q65">
        <v>1</v>
      </c>
      <c r="X65">
        <v>1.02</v>
      </c>
      <c r="Y65">
        <v>896.51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1.02</v>
      </c>
      <c r="AH65">
        <v>2</v>
      </c>
      <c r="AI65">
        <v>61636486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ROW(Source!A69)</f>
        <v>69</v>
      </c>
      <c r="B66">
        <v>61636487</v>
      </c>
      <c r="C66">
        <v>61635990</v>
      </c>
      <c r="D66">
        <v>60463688</v>
      </c>
      <c r="E66">
        <v>110</v>
      </c>
      <c r="F66">
        <v>1</v>
      </c>
      <c r="G66">
        <v>1</v>
      </c>
      <c r="H66">
        <v>3</v>
      </c>
      <c r="I66" t="s">
        <v>363</v>
      </c>
      <c r="J66" t="s">
        <v>3</v>
      </c>
      <c r="K66" t="s">
        <v>364</v>
      </c>
      <c r="L66">
        <v>3277935</v>
      </c>
      <c r="N66">
        <v>1013</v>
      </c>
      <c r="O66" t="s">
        <v>365</v>
      </c>
      <c r="P66" t="s">
        <v>365</v>
      </c>
      <c r="Q66">
        <v>1</v>
      </c>
      <c r="X66">
        <v>2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3</v>
      </c>
      <c r="AG66">
        <v>2</v>
      </c>
      <c r="AH66">
        <v>2</v>
      </c>
      <c r="AI66">
        <v>61636487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ROW(Source!A70)</f>
        <v>70</v>
      </c>
      <c r="B67">
        <v>61636488</v>
      </c>
      <c r="C67">
        <v>61636009</v>
      </c>
      <c r="D67">
        <v>60457984</v>
      </c>
      <c r="E67">
        <v>110</v>
      </c>
      <c r="F67">
        <v>1</v>
      </c>
      <c r="G67">
        <v>1</v>
      </c>
      <c r="H67">
        <v>1</v>
      </c>
      <c r="I67" t="s">
        <v>394</v>
      </c>
      <c r="J67" t="s">
        <v>3</v>
      </c>
      <c r="K67" t="s">
        <v>395</v>
      </c>
      <c r="L67">
        <v>1191</v>
      </c>
      <c r="N67">
        <v>1013</v>
      </c>
      <c r="O67" t="s">
        <v>324</v>
      </c>
      <c r="P67" t="s">
        <v>324</v>
      </c>
      <c r="Q67">
        <v>1</v>
      </c>
      <c r="X67">
        <v>2.63</v>
      </c>
      <c r="Y67">
        <v>0</v>
      </c>
      <c r="Z67">
        <v>0</v>
      </c>
      <c r="AA67">
        <v>0</v>
      </c>
      <c r="AB67">
        <v>410.91</v>
      </c>
      <c r="AC67">
        <v>0</v>
      </c>
      <c r="AD67">
        <v>1</v>
      </c>
      <c r="AE67">
        <v>1</v>
      </c>
      <c r="AF67" t="s">
        <v>3</v>
      </c>
      <c r="AG67">
        <v>2.63</v>
      </c>
      <c r="AH67">
        <v>2</v>
      </c>
      <c r="AI67">
        <v>61636488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ROW(Source!A70)</f>
        <v>70</v>
      </c>
      <c r="B68">
        <v>61636489</v>
      </c>
      <c r="C68">
        <v>61636009</v>
      </c>
      <c r="D68">
        <v>60458172</v>
      </c>
      <c r="E68">
        <v>110</v>
      </c>
      <c r="F68">
        <v>1</v>
      </c>
      <c r="G68">
        <v>1</v>
      </c>
      <c r="H68">
        <v>1</v>
      </c>
      <c r="I68" t="s">
        <v>322</v>
      </c>
      <c r="J68" t="s">
        <v>3</v>
      </c>
      <c r="K68" t="s">
        <v>323</v>
      </c>
      <c r="L68">
        <v>1191</v>
      </c>
      <c r="N68">
        <v>1013</v>
      </c>
      <c r="O68" t="s">
        <v>324</v>
      </c>
      <c r="P68" t="s">
        <v>324</v>
      </c>
      <c r="Q68">
        <v>1</v>
      </c>
      <c r="X68">
        <v>0.27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2</v>
      </c>
      <c r="AF68" t="s">
        <v>3</v>
      </c>
      <c r="AG68">
        <v>0.27</v>
      </c>
      <c r="AH68">
        <v>2</v>
      </c>
      <c r="AI68">
        <v>61636489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ROW(Source!A70)</f>
        <v>70</v>
      </c>
      <c r="B69">
        <v>61636490</v>
      </c>
      <c r="C69">
        <v>61636009</v>
      </c>
      <c r="D69">
        <v>60465431</v>
      </c>
      <c r="E69">
        <v>1</v>
      </c>
      <c r="F69">
        <v>1</v>
      </c>
      <c r="G69">
        <v>1</v>
      </c>
      <c r="H69">
        <v>2</v>
      </c>
      <c r="I69" t="s">
        <v>332</v>
      </c>
      <c r="J69" t="s">
        <v>333</v>
      </c>
      <c r="K69" t="s">
        <v>334</v>
      </c>
      <c r="L69">
        <v>1368</v>
      </c>
      <c r="N69">
        <v>1011</v>
      </c>
      <c r="O69" t="s">
        <v>194</v>
      </c>
      <c r="P69" t="s">
        <v>194</v>
      </c>
      <c r="Q69">
        <v>1</v>
      </c>
      <c r="X69">
        <v>0.12</v>
      </c>
      <c r="Y69">
        <v>0</v>
      </c>
      <c r="Z69">
        <v>346.73</v>
      </c>
      <c r="AA69">
        <v>435.27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0.12</v>
      </c>
      <c r="AH69">
        <v>2</v>
      </c>
      <c r="AI69">
        <v>61636490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ROW(Source!A70)</f>
        <v>70</v>
      </c>
      <c r="B70">
        <v>61636491</v>
      </c>
      <c r="C70">
        <v>61636009</v>
      </c>
      <c r="D70">
        <v>60466143</v>
      </c>
      <c r="E70">
        <v>1</v>
      </c>
      <c r="F70">
        <v>1</v>
      </c>
      <c r="G70">
        <v>1</v>
      </c>
      <c r="H70">
        <v>2</v>
      </c>
      <c r="I70" t="s">
        <v>336</v>
      </c>
      <c r="J70" t="s">
        <v>337</v>
      </c>
      <c r="K70" t="s">
        <v>338</v>
      </c>
      <c r="L70">
        <v>1368</v>
      </c>
      <c r="N70">
        <v>1011</v>
      </c>
      <c r="O70" t="s">
        <v>194</v>
      </c>
      <c r="P70" t="s">
        <v>194</v>
      </c>
      <c r="Q70">
        <v>1</v>
      </c>
      <c r="X70">
        <v>0.15</v>
      </c>
      <c r="Y70">
        <v>0</v>
      </c>
      <c r="Z70">
        <v>477.92</v>
      </c>
      <c r="AA70">
        <v>435.27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0.15</v>
      </c>
      <c r="AH70">
        <v>2</v>
      </c>
      <c r="AI70">
        <v>61636491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ROW(Source!A70)</f>
        <v>70</v>
      </c>
      <c r="B71">
        <v>61636492</v>
      </c>
      <c r="C71">
        <v>61636009</v>
      </c>
      <c r="D71">
        <v>60529988</v>
      </c>
      <c r="E71">
        <v>1</v>
      </c>
      <c r="F71">
        <v>1</v>
      </c>
      <c r="G71">
        <v>1</v>
      </c>
      <c r="H71">
        <v>3</v>
      </c>
      <c r="I71" t="s">
        <v>396</v>
      </c>
      <c r="J71" t="s">
        <v>397</v>
      </c>
      <c r="K71" t="s">
        <v>398</v>
      </c>
      <c r="L71">
        <v>1346</v>
      </c>
      <c r="N71">
        <v>1009</v>
      </c>
      <c r="O71" t="s">
        <v>176</v>
      </c>
      <c r="P71" t="s">
        <v>176</v>
      </c>
      <c r="Q71">
        <v>1</v>
      </c>
      <c r="X71">
        <v>0.5</v>
      </c>
      <c r="Y71">
        <v>238.29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0.5</v>
      </c>
      <c r="AH71">
        <v>2</v>
      </c>
      <c r="AI71">
        <v>61636492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ROW(Source!A70)</f>
        <v>70</v>
      </c>
      <c r="B72">
        <v>61636493</v>
      </c>
      <c r="C72">
        <v>61636009</v>
      </c>
      <c r="D72">
        <v>60532964</v>
      </c>
      <c r="E72">
        <v>1</v>
      </c>
      <c r="F72">
        <v>1</v>
      </c>
      <c r="G72">
        <v>1</v>
      </c>
      <c r="H72">
        <v>3</v>
      </c>
      <c r="I72" t="s">
        <v>399</v>
      </c>
      <c r="J72" t="s">
        <v>400</v>
      </c>
      <c r="K72" t="s">
        <v>401</v>
      </c>
      <c r="L72">
        <v>1346</v>
      </c>
      <c r="N72">
        <v>1009</v>
      </c>
      <c r="O72" t="s">
        <v>176</v>
      </c>
      <c r="P72" t="s">
        <v>176</v>
      </c>
      <c r="Q72">
        <v>1</v>
      </c>
      <c r="X72">
        <v>0</v>
      </c>
      <c r="Y72">
        <v>174.93</v>
      </c>
      <c r="Z72">
        <v>0</v>
      </c>
      <c r="AA72">
        <v>0</v>
      </c>
      <c r="AB72">
        <v>0</v>
      </c>
      <c r="AC72">
        <v>1</v>
      </c>
      <c r="AD72">
        <v>0</v>
      </c>
      <c r="AE72">
        <v>0</v>
      </c>
      <c r="AF72" t="s">
        <v>3</v>
      </c>
      <c r="AG72">
        <v>0</v>
      </c>
      <c r="AH72">
        <v>2</v>
      </c>
      <c r="AI72">
        <v>61636493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ROW(Source!A70)</f>
        <v>70</v>
      </c>
      <c r="B73">
        <v>61636494</v>
      </c>
      <c r="C73">
        <v>61636009</v>
      </c>
      <c r="D73">
        <v>60460131</v>
      </c>
      <c r="E73">
        <v>110</v>
      </c>
      <c r="F73">
        <v>1</v>
      </c>
      <c r="G73">
        <v>1</v>
      </c>
      <c r="H73">
        <v>3</v>
      </c>
      <c r="I73" t="s">
        <v>402</v>
      </c>
      <c r="J73" t="s">
        <v>3</v>
      </c>
      <c r="K73" t="s">
        <v>403</v>
      </c>
      <c r="L73">
        <v>1348</v>
      </c>
      <c r="N73">
        <v>1009</v>
      </c>
      <c r="O73" t="s">
        <v>356</v>
      </c>
      <c r="P73" t="s">
        <v>356</v>
      </c>
      <c r="Q73">
        <v>1000</v>
      </c>
      <c r="X73">
        <v>0</v>
      </c>
      <c r="Y73">
        <v>0</v>
      </c>
      <c r="Z73">
        <v>0</v>
      </c>
      <c r="AA73">
        <v>0</v>
      </c>
      <c r="AB73">
        <v>0</v>
      </c>
      <c r="AC73">
        <v>1</v>
      </c>
      <c r="AD73">
        <v>0</v>
      </c>
      <c r="AE73">
        <v>0</v>
      </c>
      <c r="AF73" t="s">
        <v>3</v>
      </c>
      <c r="AG73">
        <v>0</v>
      </c>
      <c r="AH73">
        <v>2</v>
      </c>
      <c r="AI73">
        <v>61636494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ROW(Source!A70)</f>
        <v>70</v>
      </c>
      <c r="B74">
        <v>61636495</v>
      </c>
      <c r="C74">
        <v>61636009</v>
      </c>
      <c r="D74">
        <v>60460260</v>
      </c>
      <c r="E74">
        <v>110</v>
      </c>
      <c r="F74">
        <v>1</v>
      </c>
      <c r="G74">
        <v>1</v>
      </c>
      <c r="H74">
        <v>3</v>
      </c>
      <c r="I74" t="s">
        <v>404</v>
      </c>
      <c r="J74" t="s">
        <v>3</v>
      </c>
      <c r="K74" t="s">
        <v>405</v>
      </c>
      <c r="L74">
        <v>1346</v>
      </c>
      <c r="N74">
        <v>1009</v>
      </c>
      <c r="O74" t="s">
        <v>176</v>
      </c>
      <c r="P74" t="s">
        <v>176</v>
      </c>
      <c r="Q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1</v>
      </c>
      <c r="AD74">
        <v>0</v>
      </c>
      <c r="AE74">
        <v>0</v>
      </c>
      <c r="AF74" t="s">
        <v>3</v>
      </c>
      <c r="AG74">
        <v>0</v>
      </c>
      <c r="AH74">
        <v>2</v>
      </c>
      <c r="AI74">
        <v>61636495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ROW(Source!A70)</f>
        <v>70</v>
      </c>
      <c r="B75">
        <v>61636496</v>
      </c>
      <c r="C75">
        <v>61636009</v>
      </c>
      <c r="D75">
        <v>60462770</v>
      </c>
      <c r="E75">
        <v>110</v>
      </c>
      <c r="F75">
        <v>1</v>
      </c>
      <c r="G75">
        <v>1</v>
      </c>
      <c r="H75">
        <v>3</v>
      </c>
      <c r="I75" t="s">
        <v>406</v>
      </c>
      <c r="J75" t="s">
        <v>3</v>
      </c>
      <c r="K75" t="s">
        <v>407</v>
      </c>
      <c r="L75">
        <v>1348</v>
      </c>
      <c r="N75">
        <v>1009</v>
      </c>
      <c r="O75" t="s">
        <v>356</v>
      </c>
      <c r="P75" t="s">
        <v>356</v>
      </c>
      <c r="Q75">
        <v>1000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0</v>
      </c>
      <c r="AF75" t="s">
        <v>3</v>
      </c>
      <c r="AG75">
        <v>0</v>
      </c>
      <c r="AH75">
        <v>2</v>
      </c>
      <c r="AI75">
        <v>61636496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ROW(Source!A70)</f>
        <v>70</v>
      </c>
      <c r="B76">
        <v>61636497</v>
      </c>
      <c r="C76">
        <v>61636009</v>
      </c>
      <c r="D76">
        <v>60462799</v>
      </c>
      <c r="E76">
        <v>110</v>
      </c>
      <c r="F76">
        <v>1</v>
      </c>
      <c r="G76">
        <v>1</v>
      </c>
      <c r="H76">
        <v>3</v>
      </c>
      <c r="I76" t="s">
        <v>408</v>
      </c>
      <c r="J76" t="s">
        <v>3</v>
      </c>
      <c r="K76" t="s">
        <v>409</v>
      </c>
      <c r="L76">
        <v>1371</v>
      </c>
      <c r="N76">
        <v>1013</v>
      </c>
      <c r="O76" t="s">
        <v>126</v>
      </c>
      <c r="P76" t="s">
        <v>126</v>
      </c>
      <c r="Q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1</v>
      </c>
      <c r="AD76">
        <v>0</v>
      </c>
      <c r="AE76">
        <v>0</v>
      </c>
      <c r="AF76" t="s">
        <v>3</v>
      </c>
      <c r="AG76">
        <v>0</v>
      </c>
      <c r="AH76">
        <v>2</v>
      </c>
      <c r="AI76">
        <v>61636497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ROW(Source!A70)</f>
        <v>70</v>
      </c>
      <c r="B77">
        <v>61636498</v>
      </c>
      <c r="C77">
        <v>61636009</v>
      </c>
      <c r="D77">
        <v>60462822</v>
      </c>
      <c r="E77">
        <v>110</v>
      </c>
      <c r="F77">
        <v>1</v>
      </c>
      <c r="G77">
        <v>1</v>
      </c>
      <c r="H77">
        <v>3</v>
      </c>
      <c r="I77" t="s">
        <v>410</v>
      </c>
      <c r="J77" t="s">
        <v>3</v>
      </c>
      <c r="K77" t="s">
        <v>411</v>
      </c>
      <c r="L77">
        <v>1346</v>
      </c>
      <c r="N77">
        <v>1009</v>
      </c>
      <c r="O77" t="s">
        <v>176</v>
      </c>
      <c r="P77" t="s">
        <v>176</v>
      </c>
      <c r="Q77">
        <v>1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0</v>
      </c>
      <c r="AE77">
        <v>0</v>
      </c>
      <c r="AF77" t="s">
        <v>3</v>
      </c>
      <c r="AG77">
        <v>0</v>
      </c>
      <c r="AH77">
        <v>2</v>
      </c>
      <c r="AI77">
        <v>61636498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ROW(Source!A71)</f>
        <v>71</v>
      </c>
      <c r="B78">
        <v>61636499</v>
      </c>
      <c r="C78">
        <v>61636032</v>
      </c>
      <c r="D78">
        <v>60458018</v>
      </c>
      <c r="E78">
        <v>110</v>
      </c>
      <c r="F78">
        <v>1</v>
      </c>
      <c r="G78">
        <v>1</v>
      </c>
      <c r="H78">
        <v>1</v>
      </c>
      <c r="I78" t="s">
        <v>412</v>
      </c>
      <c r="J78" t="s">
        <v>3</v>
      </c>
      <c r="K78" t="s">
        <v>413</v>
      </c>
      <c r="L78">
        <v>1191</v>
      </c>
      <c r="N78">
        <v>1013</v>
      </c>
      <c r="O78" t="s">
        <v>324</v>
      </c>
      <c r="P78" t="s">
        <v>324</v>
      </c>
      <c r="Q78">
        <v>1</v>
      </c>
      <c r="X78">
        <v>4.2699999999999996</v>
      </c>
      <c r="Y78">
        <v>0</v>
      </c>
      <c r="Z78">
        <v>0</v>
      </c>
      <c r="AA78">
        <v>0</v>
      </c>
      <c r="AB78">
        <v>474.25</v>
      </c>
      <c r="AC78">
        <v>0</v>
      </c>
      <c r="AD78">
        <v>1</v>
      </c>
      <c r="AE78">
        <v>1</v>
      </c>
      <c r="AF78" t="s">
        <v>3</v>
      </c>
      <c r="AG78">
        <v>4.2699999999999996</v>
      </c>
      <c r="AH78">
        <v>2</v>
      </c>
      <c r="AI78">
        <v>61636499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ROW(Source!A71)</f>
        <v>71</v>
      </c>
      <c r="B79">
        <v>61636500</v>
      </c>
      <c r="C79">
        <v>61636032</v>
      </c>
      <c r="D79">
        <v>60458172</v>
      </c>
      <c r="E79">
        <v>110</v>
      </c>
      <c r="F79">
        <v>1</v>
      </c>
      <c r="G79">
        <v>1</v>
      </c>
      <c r="H79">
        <v>1</v>
      </c>
      <c r="I79" t="s">
        <v>322</v>
      </c>
      <c r="J79" t="s">
        <v>3</v>
      </c>
      <c r="K79" t="s">
        <v>323</v>
      </c>
      <c r="L79">
        <v>1191</v>
      </c>
      <c r="N79">
        <v>1013</v>
      </c>
      <c r="O79" t="s">
        <v>324</v>
      </c>
      <c r="P79" t="s">
        <v>324</v>
      </c>
      <c r="Q79">
        <v>1</v>
      </c>
      <c r="X79">
        <v>3.73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2</v>
      </c>
      <c r="AF79" t="s">
        <v>3</v>
      </c>
      <c r="AG79">
        <v>3.73</v>
      </c>
      <c r="AH79">
        <v>2</v>
      </c>
      <c r="AI79">
        <v>61636500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ROW(Source!A71)</f>
        <v>71</v>
      </c>
      <c r="B80">
        <v>61636501</v>
      </c>
      <c r="C80">
        <v>61636032</v>
      </c>
      <c r="D80">
        <v>60465258</v>
      </c>
      <c r="E80">
        <v>1</v>
      </c>
      <c r="F80">
        <v>1</v>
      </c>
      <c r="G80">
        <v>1</v>
      </c>
      <c r="H80">
        <v>2</v>
      </c>
      <c r="I80" t="s">
        <v>325</v>
      </c>
      <c r="J80" t="s">
        <v>326</v>
      </c>
      <c r="K80" t="s">
        <v>327</v>
      </c>
      <c r="L80">
        <v>1368</v>
      </c>
      <c r="N80">
        <v>1011</v>
      </c>
      <c r="O80" t="s">
        <v>194</v>
      </c>
      <c r="P80" t="s">
        <v>194</v>
      </c>
      <c r="Q80">
        <v>1</v>
      </c>
      <c r="X80">
        <v>0.01</v>
      </c>
      <c r="Y80">
        <v>0</v>
      </c>
      <c r="Z80">
        <v>1459.82</v>
      </c>
      <c r="AA80">
        <v>584.69000000000005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0.01</v>
      </c>
      <c r="AH80">
        <v>2</v>
      </c>
      <c r="AI80">
        <v>61636501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ROW(Source!A71)</f>
        <v>71</v>
      </c>
      <c r="B81">
        <v>61636502</v>
      </c>
      <c r="C81">
        <v>61636032</v>
      </c>
      <c r="D81">
        <v>60465471</v>
      </c>
      <c r="E81">
        <v>1</v>
      </c>
      <c r="F81">
        <v>1</v>
      </c>
      <c r="G81">
        <v>1</v>
      </c>
      <c r="H81">
        <v>2</v>
      </c>
      <c r="I81" t="s">
        <v>414</v>
      </c>
      <c r="J81" t="s">
        <v>415</v>
      </c>
      <c r="K81" t="s">
        <v>416</v>
      </c>
      <c r="L81">
        <v>1368</v>
      </c>
      <c r="N81">
        <v>1011</v>
      </c>
      <c r="O81" t="s">
        <v>194</v>
      </c>
      <c r="P81" t="s">
        <v>194</v>
      </c>
      <c r="Q81">
        <v>1</v>
      </c>
      <c r="X81">
        <v>3.71</v>
      </c>
      <c r="Y81">
        <v>0</v>
      </c>
      <c r="Z81">
        <v>1472.34</v>
      </c>
      <c r="AA81">
        <v>584.69000000000005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3.71</v>
      </c>
      <c r="AH81">
        <v>2</v>
      </c>
      <c r="AI81">
        <v>61636502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ROW(Source!A71)</f>
        <v>71</v>
      </c>
      <c r="B82">
        <v>61636503</v>
      </c>
      <c r="C82">
        <v>61636032</v>
      </c>
      <c r="D82">
        <v>60466143</v>
      </c>
      <c r="E82">
        <v>1</v>
      </c>
      <c r="F82">
        <v>1</v>
      </c>
      <c r="G82">
        <v>1</v>
      </c>
      <c r="H82">
        <v>2</v>
      </c>
      <c r="I82" t="s">
        <v>336</v>
      </c>
      <c r="J82" t="s">
        <v>337</v>
      </c>
      <c r="K82" t="s">
        <v>338</v>
      </c>
      <c r="L82">
        <v>1368</v>
      </c>
      <c r="N82">
        <v>1011</v>
      </c>
      <c r="O82" t="s">
        <v>194</v>
      </c>
      <c r="P82" t="s">
        <v>194</v>
      </c>
      <c r="Q82">
        <v>1</v>
      </c>
      <c r="X82">
        <v>0.01</v>
      </c>
      <c r="Y82">
        <v>0</v>
      </c>
      <c r="Z82">
        <v>477.92</v>
      </c>
      <c r="AA82">
        <v>435.27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0.01</v>
      </c>
      <c r="AH82">
        <v>2</v>
      </c>
      <c r="AI82">
        <v>61636503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ROW(Source!A71)</f>
        <v>71</v>
      </c>
      <c r="B83">
        <v>61636504</v>
      </c>
      <c r="C83">
        <v>61636032</v>
      </c>
      <c r="D83">
        <v>60531884</v>
      </c>
      <c r="E83">
        <v>1</v>
      </c>
      <c r="F83">
        <v>1</v>
      </c>
      <c r="G83">
        <v>1</v>
      </c>
      <c r="H83">
        <v>3</v>
      </c>
      <c r="I83" t="s">
        <v>417</v>
      </c>
      <c r="J83" t="s">
        <v>418</v>
      </c>
      <c r="K83" t="s">
        <v>419</v>
      </c>
      <c r="L83">
        <v>1301</v>
      </c>
      <c r="N83">
        <v>1003</v>
      </c>
      <c r="O83" t="s">
        <v>383</v>
      </c>
      <c r="P83" t="s">
        <v>383</v>
      </c>
      <c r="Q83">
        <v>1</v>
      </c>
      <c r="X83">
        <v>29.09</v>
      </c>
      <c r="Y83">
        <v>0.5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29.09</v>
      </c>
      <c r="AH83">
        <v>2</v>
      </c>
      <c r="AI83">
        <v>61636504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ROW(Source!A71)</f>
        <v>71</v>
      </c>
      <c r="B84">
        <v>61636505</v>
      </c>
      <c r="C84">
        <v>61636032</v>
      </c>
      <c r="D84">
        <v>60532964</v>
      </c>
      <c r="E84">
        <v>1</v>
      </c>
      <c r="F84">
        <v>1</v>
      </c>
      <c r="G84">
        <v>1</v>
      </c>
      <c r="H84">
        <v>3</v>
      </c>
      <c r="I84" t="s">
        <v>399</v>
      </c>
      <c r="J84" t="s">
        <v>400</v>
      </c>
      <c r="K84" t="s">
        <v>401</v>
      </c>
      <c r="L84">
        <v>1346</v>
      </c>
      <c r="N84">
        <v>1009</v>
      </c>
      <c r="O84" t="s">
        <v>176</v>
      </c>
      <c r="P84" t="s">
        <v>176</v>
      </c>
      <c r="Q84">
        <v>1</v>
      </c>
      <c r="X84">
        <v>0.02</v>
      </c>
      <c r="Y84">
        <v>174.93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0.02</v>
      </c>
      <c r="AH84">
        <v>2</v>
      </c>
      <c r="AI84">
        <v>61636505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ROW(Source!A71)</f>
        <v>71</v>
      </c>
      <c r="B85">
        <v>61636506</v>
      </c>
      <c r="C85">
        <v>61636032</v>
      </c>
      <c r="D85">
        <v>60549173</v>
      </c>
      <c r="E85">
        <v>1</v>
      </c>
      <c r="F85">
        <v>1</v>
      </c>
      <c r="G85">
        <v>1</v>
      </c>
      <c r="H85">
        <v>3</v>
      </c>
      <c r="I85" t="s">
        <v>357</v>
      </c>
      <c r="J85" t="s">
        <v>358</v>
      </c>
      <c r="K85" t="s">
        <v>359</v>
      </c>
      <c r="L85">
        <v>1346</v>
      </c>
      <c r="N85">
        <v>1009</v>
      </c>
      <c r="O85" t="s">
        <v>176</v>
      </c>
      <c r="P85" t="s">
        <v>176</v>
      </c>
      <c r="Q85">
        <v>1</v>
      </c>
      <c r="X85">
        <v>0.13</v>
      </c>
      <c r="Y85">
        <v>79.88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0.13</v>
      </c>
      <c r="AH85">
        <v>2</v>
      </c>
      <c r="AI85">
        <v>61636506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ROW(Source!A71)</f>
        <v>71</v>
      </c>
      <c r="B86">
        <v>61636507</v>
      </c>
      <c r="C86">
        <v>61636032</v>
      </c>
      <c r="D86">
        <v>60549199</v>
      </c>
      <c r="E86">
        <v>1</v>
      </c>
      <c r="F86">
        <v>1</v>
      </c>
      <c r="G86">
        <v>1</v>
      </c>
      <c r="H86">
        <v>3</v>
      </c>
      <c r="I86" t="s">
        <v>420</v>
      </c>
      <c r="J86" t="s">
        <v>421</v>
      </c>
      <c r="K86" t="s">
        <v>422</v>
      </c>
      <c r="L86">
        <v>1348</v>
      </c>
      <c r="N86">
        <v>1009</v>
      </c>
      <c r="O86" t="s">
        <v>356</v>
      </c>
      <c r="P86" t="s">
        <v>356</v>
      </c>
      <c r="Q86">
        <v>1000</v>
      </c>
      <c r="X86">
        <v>2.0000000000000002E-5</v>
      </c>
      <c r="Y86">
        <v>82698.14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2.0000000000000002E-5</v>
      </c>
      <c r="AH86">
        <v>2</v>
      </c>
      <c r="AI86">
        <v>61636507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ROW(Source!A71)</f>
        <v>71</v>
      </c>
      <c r="B87">
        <v>61636508</v>
      </c>
      <c r="C87">
        <v>61636032</v>
      </c>
      <c r="D87">
        <v>60556312</v>
      </c>
      <c r="E87">
        <v>1</v>
      </c>
      <c r="F87">
        <v>1</v>
      </c>
      <c r="G87">
        <v>1</v>
      </c>
      <c r="H87">
        <v>3</v>
      </c>
      <c r="I87" t="s">
        <v>423</v>
      </c>
      <c r="J87" t="s">
        <v>424</v>
      </c>
      <c r="K87" t="s">
        <v>425</v>
      </c>
      <c r="L87">
        <v>1407</v>
      </c>
      <c r="N87">
        <v>1013</v>
      </c>
      <c r="O87" t="s">
        <v>393</v>
      </c>
      <c r="P87" t="s">
        <v>393</v>
      </c>
      <c r="Q87">
        <v>1</v>
      </c>
      <c r="X87">
        <v>8.0000000000000002E-3</v>
      </c>
      <c r="Y87">
        <v>3658.94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8.0000000000000002E-3</v>
      </c>
      <c r="AH87">
        <v>2</v>
      </c>
      <c r="AI87">
        <v>61636508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ROW(Source!A71)</f>
        <v>71</v>
      </c>
      <c r="B88">
        <v>61636509</v>
      </c>
      <c r="C88">
        <v>61636032</v>
      </c>
      <c r="D88">
        <v>60463688</v>
      </c>
      <c r="E88">
        <v>110</v>
      </c>
      <c r="F88">
        <v>1</v>
      </c>
      <c r="G88">
        <v>1</v>
      </c>
      <c r="H88">
        <v>3</v>
      </c>
      <c r="I88" t="s">
        <v>363</v>
      </c>
      <c r="J88" t="s">
        <v>3</v>
      </c>
      <c r="K88" t="s">
        <v>364</v>
      </c>
      <c r="L88">
        <v>3277935</v>
      </c>
      <c r="N88">
        <v>1013</v>
      </c>
      <c r="O88" t="s">
        <v>365</v>
      </c>
      <c r="P88" t="s">
        <v>365</v>
      </c>
      <c r="Q88">
        <v>1</v>
      </c>
      <c r="X88">
        <v>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3</v>
      </c>
      <c r="AG88">
        <v>2</v>
      </c>
      <c r="AH88">
        <v>2</v>
      </c>
      <c r="AI88">
        <v>61636509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ROW(Source!A72)</f>
        <v>72</v>
      </c>
      <c r="B89">
        <v>61636071</v>
      </c>
      <c r="C89">
        <v>61636055</v>
      </c>
      <c r="D89">
        <v>37080781</v>
      </c>
      <c r="E89">
        <v>108</v>
      </c>
      <c r="F89">
        <v>1</v>
      </c>
      <c r="G89">
        <v>1</v>
      </c>
      <c r="H89">
        <v>1</v>
      </c>
      <c r="I89" t="s">
        <v>426</v>
      </c>
      <c r="J89" t="s">
        <v>3</v>
      </c>
      <c r="K89" t="s">
        <v>427</v>
      </c>
      <c r="L89">
        <v>1191</v>
      </c>
      <c r="N89">
        <v>1013</v>
      </c>
      <c r="O89" t="s">
        <v>324</v>
      </c>
      <c r="P89" t="s">
        <v>324</v>
      </c>
      <c r="Q89">
        <v>1</v>
      </c>
      <c r="X89">
        <v>70</v>
      </c>
      <c r="Y89">
        <v>0</v>
      </c>
      <c r="Z89">
        <v>0</v>
      </c>
      <c r="AA89">
        <v>0</v>
      </c>
      <c r="AB89">
        <v>448.27</v>
      </c>
      <c r="AC89">
        <v>0</v>
      </c>
      <c r="AD89">
        <v>1</v>
      </c>
      <c r="AE89">
        <v>1</v>
      </c>
      <c r="AF89" t="s">
        <v>3</v>
      </c>
      <c r="AG89">
        <v>70</v>
      </c>
      <c r="AH89">
        <v>2</v>
      </c>
      <c r="AI89">
        <v>61636056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ROW(Source!A72)</f>
        <v>72</v>
      </c>
      <c r="B90">
        <v>61636072</v>
      </c>
      <c r="C90">
        <v>61636055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322</v>
      </c>
      <c r="J90" t="s">
        <v>3</v>
      </c>
      <c r="K90" t="s">
        <v>323</v>
      </c>
      <c r="L90">
        <v>1191</v>
      </c>
      <c r="N90">
        <v>1013</v>
      </c>
      <c r="O90" t="s">
        <v>324</v>
      </c>
      <c r="P90" t="s">
        <v>324</v>
      </c>
      <c r="Q90">
        <v>1</v>
      </c>
      <c r="X90">
        <v>0.08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2</v>
      </c>
      <c r="AF90" t="s">
        <v>3</v>
      </c>
      <c r="AG90">
        <v>0.08</v>
      </c>
      <c r="AH90">
        <v>2</v>
      </c>
      <c r="AI90">
        <v>61636057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ROW(Source!A72)</f>
        <v>72</v>
      </c>
      <c r="B91">
        <v>61636073</v>
      </c>
      <c r="C91">
        <v>61636055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325</v>
      </c>
      <c r="J91" t="s">
        <v>326</v>
      </c>
      <c r="K91" t="s">
        <v>327</v>
      </c>
      <c r="L91">
        <v>1368</v>
      </c>
      <c r="N91">
        <v>1011</v>
      </c>
      <c r="O91" t="s">
        <v>194</v>
      </c>
      <c r="P91" t="s">
        <v>194</v>
      </c>
      <c r="Q91">
        <v>1</v>
      </c>
      <c r="X91">
        <v>0.04</v>
      </c>
      <c r="Y91">
        <v>0</v>
      </c>
      <c r="Z91">
        <v>1459.82</v>
      </c>
      <c r="AA91">
        <v>584.69000000000005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0.04</v>
      </c>
      <c r="AH91">
        <v>2</v>
      </c>
      <c r="AI91">
        <v>61636058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ROW(Source!A72)</f>
        <v>72</v>
      </c>
      <c r="B92">
        <v>61636074</v>
      </c>
      <c r="C92">
        <v>61636055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336</v>
      </c>
      <c r="J92" t="s">
        <v>337</v>
      </c>
      <c r="K92" t="s">
        <v>338</v>
      </c>
      <c r="L92">
        <v>1368</v>
      </c>
      <c r="N92">
        <v>1011</v>
      </c>
      <c r="O92" t="s">
        <v>194</v>
      </c>
      <c r="P92" t="s">
        <v>194</v>
      </c>
      <c r="Q92">
        <v>1</v>
      </c>
      <c r="X92">
        <v>0.04</v>
      </c>
      <c r="Y92">
        <v>0</v>
      </c>
      <c r="Z92">
        <v>477.92</v>
      </c>
      <c r="AA92">
        <v>435.27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0.04</v>
      </c>
      <c r="AH92">
        <v>2</v>
      </c>
      <c r="AI92">
        <v>61636059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ROW(Source!A72)</f>
        <v>72</v>
      </c>
      <c r="B93">
        <v>61636075</v>
      </c>
      <c r="C93">
        <v>61636055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350</v>
      </c>
      <c r="J93" t="s">
        <v>351</v>
      </c>
      <c r="K93" t="s">
        <v>352</v>
      </c>
      <c r="L93">
        <v>1368</v>
      </c>
      <c r="N93">
        <v>1011</v>
      </c>
      <c r="O93" t="s">
        <v>194</v>
      </c>
      <c r="P93" t="s">
        <v>194</v>
      </c>
      <c r="Q93">
        <v>1</v>
      </c>
      <c r="X93">
        <v>6.83</v>
      </c>
      <c r="Y93">
        <v>0</v>
      </c>
      <c r="Z93">
        <v>25.86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6.83</v>
      </c>
      <c r="AH93">
        <v>2</v>
      </c>
      <c r="AI93">
        <v>61636060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ROW(Source!A72)</f>
        <v>72</v>
      </c>
      <c r="B94">
        <v>61636076</v>
      </c>
      <c r="C94">
        <v>61636055</v>
      </c>
      <c r="D94">
        <v>56573896</v>
      </c>
      <c r="E94">
        <v>1</v>
      </c>
      <c r="F94">
        <v>1</v>
      </c>
      <c r="G94">
        <v>1</v>
      </c>
      <c r="H94">
        <v>2</v>
      </c>
      <c r="I94" t="s">
        <v>428</v>
      </c>
      <c r="J94" t="s">
        <v>429</v>
      </c>
      <c r="K94" t="s">
        <v>430</v>
      </c>
      <c r="L94">
        <v>1368</v>
      </c>
      <c r="N94">
        <v>1011</v>
      </c>
      <c r="O94" t="s">
        <v>194</v>
      </c>
      <c r="P94" t="s">
        <v>194</v>
      </c>
      <c r="Q94">
        <v>1</v>
      </c>
      <c r="X94">
        <v>5.6</v>
      </c>
      <c r="Y94">
        <v>0</v>
      </c>
      <c r="Z94">
        <v>23.89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5.6</v>
      </c>
      <c r="AH94">
        <v>2</v>
      </c>
      <c r="AI94">
        <v>61636061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ROW(Source!A72)</f>
        <v>72</v>
      </c>
      <c r="B95">
        <v>61636077</v>
      </c>
      <c r="C95">
        <v>61636055</v>
      </c>
      <c r="D95">
        <v>56574807</v>
      </c>
      <c r="E95">
        <v>1</v>
      </c>
      <c r="F95">
        <v>1</v>
      </c>
      <c r="G95">
        <v>1</v>
      </c>
      <c r="H95">
        <v>3</v>
      </c>
      <c r="I95" t="s">
        <v>431</v>
      </c>
      <c r="J95" t="s">
        <v>432</v>
      </c>
      <c r="K95" t="s">
        <v>433</v>
      </c>
      <c r="L95">
        <v>1346</v>
      </c>
      <c r="N95">
        <v>1009</v>
      </c>
      <c r="O95" t="s">
        <v>176</v>
      </c>
      <c r="P95" t="s">
        <v>176</v>
      </c>
      <c r="Q95">
        <v>1</v>
      </c>
      <c r="X95">
        <v>0.7</v>
      </c>
      <c r="Y95">
        <v>150.04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0.7</v>
      </c>
      <c r="AH95">
        <v>2</v>
      </c>
      <c r="AI95">
        <v>61636062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ROW(Source!A72)</f>
        <v>72</v>
      </c>
      <c r="B96">
        <v>61636078</v>
      </c>
      <c r="C96">
        <v>61636055</v>
      </c>
      <c r="D96">
        <v>56577940</v>
      </c>
      <c r="E96">
        <v>1</v>
      </c>
      <c r="F96">
        <v>1</v>
      </c>
      <c r="G96">
        <v>1</v>
      </c>
      <c r="H96">
        <v>3</v>
      </c>
      <c r="I96" t="s">
        <v>434</v>
      </c>
      <c r="J96" t="s">
        <v>435</v>
      </c>
      <c r="K96" t="s">
        <v>436</v>
      </c>
      <c r="L96">
        <v>1346</v>
      </c>
      <c r="N96">
        <v>1009</v>
      </c>
      <c r="O96" t="s">
        <v>176</v>
      </c>
      <c r="P96" t="s">
        <v>176</v>
      </c>
      <c r="Q96">
        <v>1</v>
      </c>
      <c r="X96">
        <v>1.26</v>
      </c>
      <c r="Y96">
        <v>187.38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1.26</v>
      </c>
      <c r="AH96">
        <v>2</v>
      </c>
      <c r="AI96">
        <v>61636063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ROW(Source!A72)</f>
        <v>72</v>
      </c>
      <c r="B97">
        <v>61636079</v>
      </c>
      <c r="C97">
        <v>61636055</v>
      </c>
      <c r="D97">
        <v>56577966</v>
      </c>
      <c r="E97">
        <v>1</v>
      </c>
      <c r="F97">
        <v>1</v>
      </c>
      <c r="G97">
        <v>1</v>
      </c>
      <c r="H97">
        <v>3</v>
      </c>
      <c r="I97" t="s">
        <v>370</v>
      </c>
      <c r="J97" t="s">
        <v>371</v>
      </c>
      <c r="K97" t="s">
        <v>372</v>
      </c>
      <c r="L97">
        <v>1383</v>
      </c>
      <c r="N97">
        <v>1013</v>
      </c>
      <c r="O97" t="s">
        <v>373</v>
      </c>
      <c r="P97" t="s">
        <v>373</v>
      </c>
      <c r="Q97">
        <v>1</v>
      </c>
      <c r="X97">
        <v>3.5760000000000001</v>
      </c>
      <c r="Y97">
        <v>5.4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3.5760000000000001</v>
      </c>
      <c r="AH97">
        <v>2</v>
      </c>
      <c r="AI97">
        <v>61636064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ROW(Source!A72)</f>
        <v>72</v>
      </c>
      <c r="B98">
        <v>61636080</v>
      </c>
      <c r="C98">
        <v>61636055</v>
      </c>
      <c r="D98">
        <v>56578257</v>
      </c>
      <c r="E98">
        <v>1</v>
      </c>
      <c r="F98">
        <v>1</v>
      </c>
      <c r="G98">
        <v>1</v>
      </c>
      <c r="H98">
        <v>3</v>
      </c>
      <c r="I98" t="s">
        <v>380</v>
      </c>
      <c r="J98" t="s">
        <v>381</v>
      </c>
      <c r="K98" t="s">
        <v>382</v>
      </c>
      <c r="L98">
        <v>1301</v>
      </c>
      <c r="N98">
        <v>1003</v>
      </c>
      <c r="O98" t="s">
        <v>383</v>
      </c>
      <c r="P98" t="s">
        <v>383</v>
      </c>
      <c r="Q98">
        <v>1</v>
      </c>
      <c r="X98">
        <v>81.67</v>
      </c>
      <c r="Y98">
        <v>5.87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81.67</v>
      </c>
      <c r="AH98">
        <v>2</v>
      </c>
      <c r="AI98">
        <v>61636065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ROW(Source!A72)</f>
        <v>72</v>
      </c>
      <c r="B99">
        <v>61636081</v>
      </c>
      <c r="C99">
        <v>61636055</v>
      </c>
      <c r="D99">
        <v>56579266</v>
      </c>
      <c r="E99">
        <v>1</v>
      </c>
      <c r="F99">
        <v>1</v>
      </c>
      <c r="G99">
        <v>1</v>
      </c>
      <c r="H99">
        <v>3</v>
      </c>
      <c r="I99" t="s">
        <v>374</v>
      </c>
      <c r="J99" t="s">
        <v>375</v>
      </c>
      <c r="K99" t="s">
        <v>376</v>
      </c>
      <c r="L99">
        <v>1346</v>
      </c>
      <c r="N99">
        <v>1009</v>
      </c>
      <c r="O99" t="s">
        <v>176</v>
      </c>
      <c r="P99" t="s">
        <v>176</v>
      </c>
      <c r="Q99">
        <v>1</v>
      </c>
      <c r="X99">
        <v>0.48</v>
      </c>
      <c r="Y99">
        <v>155.63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0.48</v>
      </c>
      <c r="AH99">
        <v>2</v>
      </c>
      <c r="AI99">
        <v>61636066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ROW(Source!A72)</f>
        <v>72</v>
      </c>
      <c r="B100">
        <v>61636082</v>
      </c>
      <c r="C100">
        <v>61636055</v>
      </c>
      <c r="D100">
        <v>56594674</v>
      </c>
      <c r="E100">
        <v>1</v>
      </c>
      <c r="F100">
        <v>1</v>
      </c>
      <c r="G100">
        <v>1</v>
      </c>
      <c r="H100">
        <v>3</v>
      </c>
      <c r="I100" t="s">
        <v>437</v>
      </c>
      <c r="J100" t="s">
        <v>438</v>
      </c>
      <c r="K100" t="s">
        <v>439</v>
      </c>
      <c r="L100">
        <v>1348</v>
      </c>
      <c r="N100">
        <v>1009</v>
      </c>
      <c r="O100" t="s">
        <v>356</v>
      </c>
      <c r="P100" t="s">
        <v>356</v>
      </c>
      <c r="Q100">
        <v>1000</v>
      </c>
      <c r="X100">
        <v>1E-3</v>
      </c>
      <c r="Y100">
        <v>790465.03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1E-3</v>
      </c>
      <c r="AH100">
        <v>2</v>
      </c>
      <c r="AI100">
        <v>61636067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ROW(Source!A72)</f>
        <v>72</v>
      </c>
      <c r="B101">
        <v>61636083</v>
      </c>
      <c r="C101">
        <v>61636055</v>
      </c>
      <c r="D101">
        <v>56610213</v>
      </c>
      <c r="E101">
        <v>1</v>
      </c>
      <c r="F101">
        <v>1</v>
      </c>
      <c r="G101">
        <v>1</v>
      </c>
      <c r="H101">
        <v>3</v>
      </c>
      <c r="I101" t="s">
        <v>440</v>
      </c>
      <c r="J101" t="s">
        <v>441</v>
      </c>
      <c r="K101" t="s">
        <v>442</v>
      </c>
      <c r="L101">
        <v>1348</v>
      </c>
      <c r="N101">
        <v>1009</v>
      </c>
      <c r="O101" t="s">
        <v>356</v>
      </c>
      <c r="P101" t="s">
        <v>356</v>
      </c>
      <c r="Q101">
        <v>1000</v>
      </c>
      <c r="X101">
        <v>1.6800000000000001E-3</v>
      </c>
      <c r="Y101">
        <v>308849.7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1.6800000000000001E-3</v>
      </c>
      <c r="AH101">
        <v>2</v>
      </c>
      <c r="AI101">
        <v>61636068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ROW(Source!A72)</f>
        <v>72</v>
      </c>
      <c r="B102">
        <v>61636084</v>
      </c>
      <c r="C102">
        <v>61636055</v>
      </c>
      <c r="D102">
        <v>56628095</v>
      </c>
      <c r="E102">
        <v>1</v>
      </c>
      <c r="F102">
        <v>1</v>
      </c>
      <c r="G102">
        <v>1</v>
      </c>
      <c r="H102">
        <v>3</v>
      </c>
      <c r="I102" t="s">
        <v>443</v>
      </c>
      <c r="J102" t="s">
        <v>444</v>
      </c>
      <c r="K102" t="s">
        <v>445</v>
      </c>
      <c r="L102">
        <v>1301</v>
      </c>
      <c r="N102">
        <v>1003</v>
      </c>
      <c r="O102" t="s">
        <v>383</v>
      </c>
      <c r="P102" t="s">
        <v>383</v>
      </c>
      <c r="Q102">
        <v>1</v>
      </c>
      <c r="X102">
        <v>51.3</v>
      </c>
      <c r="Y102">
        <v>73.2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51.3</v>
      </c>
      <c r="AH102">
        <v>2</v>
      </c>
      <c r="AI102">
        <v>61636069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ROW(Source!A72)</f>
        <v>72</v>
      </c>
      <c r="B103">
        <v>61636085</v>
      </c>
      <c r="C103">
        <v>61636055</v>
      </c>
      <c r="D103">
        <v>56223463</v>
      </c>
      <c r="E103">
        <v>108</v>
      </c>
      <c r="F103">
        <v>1</v>
      </c>
      <c r="G103">
        <v>1</v>
      </c>
      <c r="H103">
        <v>3</v>
      </c>
      <c r="I103" t="s">
        <v>363</v>
      </c>
      <c r="J103" t="s">
        <v>3</v>
      </c>
      <c r="K103" t="s">
        <v>364</v>
      </c>
      <c r="L103">
        <v>3277935</v>
      </c>
      <c r="N103">
        <v>1013</v>
      </c>
      <c r="O103" t="s">
        <v>365</v>
      </c>
      <c r="P103" t="s">
        <v>365</v>
      </c>
      <c r="Q103">
        <v>1</v>
      </c>
      <c r="X103">
        <v>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3</v>
      </c>
      <c r="AG103">
        <v>2</v>
      </c>
      <c r="AH103">
        <v>2</v>
      </c>
      <c r="AI103">
        <v>61636070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ROW(Source!A73)</f>
        <v>73</v>
      </c>
      <c r="B104">
        <v>61636089</v>
      </c>
      <c r="C104">
        <v>61636086</v>
      </c>
      <c r="D104">
        <v>37064878</v>
      </c>
      <c r="E104">
        <v>108</v>
      </c>
      <c r="F104">
        <v>1</v>
      </c>
      <c r="G104">
        <v>1</v>
      </c>
      <c r="H104">
        <v>1</v>
      </c>
      <c r="I104" t="s">
        <v>368</v>
      </c>
      <c r="J104" t="s">
        <v>3</v>
      </c>
      <c r="K104" t="s">
        <v>369</v>
      </c>
      <c r="L104">
        <v>1191</v>
      </c>
      <c r="N104">
        <v>1013</v>
      </c>
      <c r="O104" t="s">
        <v>324</v>
      </c>
      <c r="P104" t="s">
        <v>324</v>
      </c>
      <c r="Q104">
        <v>1</v>
      </c>
      <c r="X104">
        <v>9.6</v>
      </c>
      <c r="Y104">
        <v>0</v>
      </c>
      <c r="Z104">
        <v>0</v>
      </c>
      <c r="AA104">
        <v>0</v>
      </c>
      <c r="AB104">
        <v>425.53</v>
      </c>
      <c r="AC104">
        <v>0</v>
      </c>
      <c r="AD104">
        <v>1</v>
      </c>
      <c r="AE104">
        <v>1</v>
      </c>
      <c r="AF104" t="s">
        <v>3</v>
      </c>
      <c r="AG104">
        <v>9.6</v>
      </c>
      <c r="AH104">
        <v>2</v>
      </c>
      <c r="AI104">
        <v>61636087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ROW(Source!A73)</f>
        <v>73</v>
      </c>
      <c r="B105">
        <v>61636090</v>
      </c>
      <c r="C105">
        <v>61636086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363</v>
      </c>
      <c r="J105" t="s">
        <v>3</v>
      </c>
      <c r="K105" t="s">
        <v>364</v>
      </c>
      <c r="L105">
        <v>3277935</v>
      </c>
      <c r="N105">
        <v>1013</v>
      </c>
      <c r="O105" t="s">
        <v>365</v>
      </c>
      <c r="P105" t="s">
        <v>365</v>
      </c>
      <c r="Q105">
        <v>1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2</v>
      </c>
      <c r="AH105">
        <v>2</v>
      </c>
      <c r="AI105">
        <v>61636088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ROW(Source!A74)</f>
        <v>74</v>
      </c>
      <c r="B106">
        <v>61636100</v>
      </c>
      <c r="C106">
        <v>61636091</v>
      </c>
      <c r="D106">
        <v>37064878</v>
      </c>
      <c r="E106">
        <v>108</v>
      </c>
      <c r="F106">
        <v>1</v>
      </c>
      <c r="G106">
        <v>1</v>
      </c>
      <c r="H106">
        <v>1</v>
      </c>
      <c r="I106" t="s">
        <v>368</v>
      </c>
      <c r="J106" t="s">
        <v>3</v>
      </c>
      <c r="K106" t="s">
        <v>369</v>
      </c>
      <c r="L106">
        <v>1191</v>
      </c>
      <c r="N106">
        <v>1013</v>
      </c>
      <c r="O106" t="s">
        <v>324</v>
      </c>
      <c r="P106" t="s">
        <v>324</v>
      </c>
      <c r="Q106">
        <v>1</v>
      </c>
      <c r="X106">
        <v>9.27</v>
      </c>
      <c r="Y106">
        <v>0</v>
      </c>
      <c r="Z106">
        <v>0</v>
      </c>
      <c r="AA106">
        <v>0</v>
      </c>
      <c r="AB106">
        <v>425.53</v>
      </c>
      <c r="AC106">
        <v>0</v>
      </c>
      <c r="AD106">
        <v>1</v>
      </c>
      <c r="AE106">
        <v>1</v>
      </c>
      <c r="AF106" t="s">
        <v>3</v>
      </c>
      <c r="AG106">
        <v>9.27</v>
      </c>
      <c r="AH106">
        <v>2</v>
      </c>
      <c r="AI106">
        <v>61636092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ROW(Source!A74)</f>
        <v>74</v>
      </c>
      <c r="B107">
        <v>61636101</v>
      </c>
      <c r="C107">
        <v>61636091</v>
      </c>
      <c r="D107">
        <v>37064876</v>
      </c>
      <c r="E107">
        <v>108</v>
      </c>
      <c r="F107">
        <v>1</v>
      </c>
      <c r="G107">
        <v>1</v>
      </c>
      <c r="H107">
        <v>1</v>
      </c>
      <c r="I107" t="s">
        <v>322</v>
      </c>
      <c r="J107" t="s">
        <v>3</v>
      </c>
      <c r="K107" t="s">
        <v>323</v>
      </c>
      <c r="L107">
        <v>1191</v>
      </c>
      <c r="N107">
        <v>1013</v>
      </c>
      <c r="O107" t="s">
        <v>324</v>
      </c>
      <c r="P107" t="s">
        <v>324</v>
      </c>
      <c r="Q107">
        <v>1</v>
      </c>
      <c r="X107">
        <v>0.34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0.34</v>
      </c>
      <c r="AH107">
        <v>2</v>
      </c>
      <c r="AI107">
        <v>61636093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ROW(Source!A74)</f>
        <v>74</v>
      </c>
      <c r="B108">
        <v>61636102</v>
      </c>
      <c r="C108">
        <v>61636091</v>
      </c>
      <c r="D108">
        <v>56571417</v>
      </c>
      <c r="E108">
        <v>1</v>
      </c>
      <c r="F108">
        <v>1</v>
      </c>
      <c r="G108">
        <v>1</v>
      </c>
      <c r="H108">
        <v>2</v>
      </c>
      <c r="I108" t="s">
        <v>325</v>
      </c>
      <c r="J108" t="s">
        <v>326</v>
      </c>
      <c r="K108" t="s">
        <v>327</v>
      </c>
      <c r="L108">
        <v>1368</v>
      </c>
      <c r="N108">
        <v>1011</v>
      </c>
      <c r="O108" t="s">
        <v>194</v>
      </c>
      <c r="P108" t="s">
        <v>194</v>
      </c>
      <c r="Q108">
        <v>1</v>
      </c>
      <c r="X108">
        <v>0.17</v>
      </c>
      <c r="Y108">
        <v>0</v>
      </c>
      <c r="Z108">
        <v>1459.82</v>
      </c>
      <c r="AA108">
        <v>584.69000000000005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0.17</v>
      </c>
      <c r="AH108">
        <v>2</v>
      </c>
      <c r="AI108">
        <v>61636094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ROW(Source!A74)</f>
        <v>74</v>
      </c>
      <c r="B109">
        <v>61636103</v>
      </c>
      <c r="C109">
        <v>61636091</v>
      </c>
      <c r="D109">
        <v>56572833</v>
      </c>
      <c r="E109">
        <v>1</v>
      </c>
      <c r="F109">
        <v>1</v>
      </c>
      <c r="G109">
        <v>1</v>
      </c>
      <c r="H109">
        <v>2</v>
      </c>
      <c r="I109" t="s">
        <v>336</v>
      </c>
      <c r="J109" t="s">
        <v>337</v>
      </c>
      <c r="K109" t="s">
        <v>338</v>
      </c>
      <c r="L109">
        <v>1368</v>
      </c>
      <c r="N109">
        <v>1011</v>
      </c>
      <c r="O109" t="s">
        <v>194</v>
      </c>
      <c r="P109" t="s">
        <v>194</v>
      </c>
      <c r="Q109">
        <v>1</v>
      </c>
      <c r="X109">
        <v>0.17</v>
      </c>
      <c r="Y109">
        <v>0</v>
      </c>
      <c r="Z109">
        <v>477.92</v>
      </c>
      <c r="AA109">
        <v>435.27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0.17</v>
      </c>
      <c r="AH109">
        <v>2</v>
      </c>
      <c r="AI109">
        <v>61636095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ROW(Source!A74)</f>
        <v>74</v>
      </c>
      <c r="B110">
        <v>61636104</v>
      </c>
      <c r="C110">
        <v>61636091</v>
      </c>
      <c r="D110">
        <v>56573153</v>
      </c>
      <c r="E110">
        <v>1</v>
      </c>
      <c r="F110">
        <v>1</v>
      </c>
      <c r="G110">
        <v>1</v>
      </c>
      <c r="H110">
        <v>2</v>
      </c>
      <c r="I110" t="s">
        <v>350</v>
      </c>
      <c r="J110" t="s">
        <v>351</v>
      </c>
      <c r="K110" t="s">
        <v>352</v>
      </c>
      <c r="L110">
        <v>1368</v>
      </c>
      <c r="N110">
        <v>1011</v>
      </c>
      <c r="O110" t="s">
        <v>194</v>
      </c>
      <c r="P110" t="s">
        <v>194</v>
      </c>
      <c r="Q110">
        <v>1</v>
      </c>
      <c r="X110">
        <v>1.51</v>
      </c>
      <c r="Y110">
        <v>0</v>
      </c>
      <c r="Z110">
        <v>25.86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1.51</v>
      </c>
      <c r="AH110">
        <v>2</v>
      </c>
      <c r="AI110">
        <v>61636096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ROW(Source!A74)</f>
        <v>74</v>
      </c>
      <c r="B111">
        <v>61636105</v>
      </c>
      <c r="C111">
        <v>61636091</v>
      </c>
      <c r="D111">
        <v>56579266</v>
      </c>
      <c r="E111">
        <v>1</v>
      </c>
      <c r="F111">
        <v>1</v>
      </c>
      <c r="G111">
        <v>1</v>
      </c>
      <c r="H111">
        <v>3</v>
      </c>
      <c r="I111" t="s">
        <v>374</v>
      </c>
      <c r="J111" t="s">
        <v>375</v>
      </c>
      <c r="K111" t="s">
        <v>376</v>
      </c>
      <c r="L111">
        <v>1346</v>
      </c>
      <c r="N111">
        <v>1009</v>
      </c>
      <c r="O111" t="s">
        <v>176</v>
      </c>
      <c r="P111" t="s">
        <v>176</v>
      </c>
      <c r="Q111">
        <v>1</v>
      </c>
      <c r="X111">
        <v>0.65</v>
      </c>
      <c r="Y111">
        <v>155.63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0.65</v>
      </c>
      <c r="AH111">
        <v>2</v>
      </c>
      <c r="AI111">
        <v>61636097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ROW(Source!A74)</f>
        <v>74</v>
      </c>
      <c r="B112">
        <v>61636106</v>
      </c>
      <c r="C112">
        <v>61636091</v>
      </c>
      <c r="D112">
        <v>56609983</v>
      </c>
      <c r="E112">
        <v>1</v>
      </c>
      <c r="F112">
        <v>1</v>
      </c>
      <c r="G112">
        <v>1</v>
      </c>
      <c r="H112">
        <v>3</v>
      </c>
      <c r="I112" t="s">
        <v>446</v>
      </c>
      <c r="J112" t="s">
        <v>447</v>
      </c>
      <c r="K112" t="s">
        <v>448</v>
      </c>
      <c r="L112">
        <v>1346</v>
      </c>
      <c r="N112">
        <v>1009</v>
      </c>
      <c r="O112" t="s">
        <v>176</v>
      </c>
      <c r="P112" t="s">
        <v>176</v>
      </c>
      <c r="Q112">
        <v>1</v>
      </c>
      <c r="X112">
        <v>2</v>
      </c>
      <c r="Y112">
        <v>911.56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2</v>
      </c>
      <c r="AH112">
        <v>2</v>
      </c>
      <c r="AI112">
        <v>61636098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ROW(Source!A74)</f>
        <v>74</v>
      </c>
      <c r="B113">
        <v>61636107</v>
      </c>
      <c r="C113">
        <v>61636091</v>
      </c>
      <c r="D113">
        <v>56223463</v>
      </c>
      <c r="E113">
        <v>108</v>
      </c>
      <c r="F113">
        <v>1</v>
      </c>
      <c r="G113">
        <v>1</v>
      </c>
      <c r="H113">
        <v>3</v>
      </c>
      <c r="I113" t="s">
        <v>363</v>
      </c>
      <c r="J113" t="s">
        <v>3</v>
      </c>
      <c r="K113" t="s">
        <v>364</v>
      </c>
      <c r="L113">
        <v>3277935</v>
      </c>
      <c r="N113">
        <v>1013</v>
      </c>
      <c r="O113" t="s">
        <v>365</v>
      </c>
      <c r="P113" t="s">
        <v>365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61636099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ROW(Source!A75)</f>
        <v>75</v>
      </c>
      <c r="B114">
        <v>61636118</v>
      </c>
      <c r="C114">
        <v>61636108</v>
      </c>
      <c r="D114">
        <v>37064878</v>
      </c>
      <c r="E114">
        <v>108</v>
      </c>
      <c r="F114">
        <v>1</v>
      </c>
      <c r="G114">
        <v>1</v>
      </c>
      <c r="H114">
        <v>1</v>
      </c>
      <c r="I114" t="s">
        <v>368</v>
      </c>
      <c r="J114" t="s">
        <v>3</v>
      </c>
      <c r="K114" t="s">
        <v>369</v>
      </c>
      <c r="L114">
        <v>1191</v>
      </c>
      <c r="N114">
        <v>1013</v>
      </c>
      <c r="O114" t="s">
        <v>324</v>
      </c>
      <c r="P114" t="s">
        <v>324</v>
      </c>
      <c r="Q114">
        <v>1</v>
      </c>
      <c r="X114">
        <v>17.5</v>
      </c>
      <c r="Y114">
        <v>0</v>
      </c>
      <c r="Z114">
        <v>0</v>
      </c>
      <c r="AA114">
        <v>0</v>
      </c>
      <c r="AB114">
        <v>425.53</v>
      </c>
      <c r="AC114">
        <v>0</v>
      </c>
      <c r="AD114">
        <v>1</v>
      </c>
      <c r="AE114">
        <v>1</v>
      </c>
      <c r="AF114" t="s">
        <v>3</v>
      </c>
      <c r="AG114">
        <v>17.5</v>
      </c>
      <c r="AH114">
        <v>2</v>
      </c>
      <c r="AI114">
        <v>61636109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ROW(Source!A75)</f>
        <v>75</v>
      </c>
      <c r="B115">
        <v>61636119</v>
      </c>
      <c r="C115">
        <v>61636108</v>
      </c>
      <c r="D115">
        <v>37064876</v>
      </c>
      <c r="E115">
        <v>108</v>
      </c>
      <c r="F115">
        <v>1</v>
      </c>
      <c r="G115">
        <v>1</v>
      </c>
      <c r="H115">
        <v>1</v>
      </c>
      <c r="I115" t="s">
        <v>322</v>
      </c>
      <c r="J115" t="s">
        <v>3</v>
      </c>
      <c r="K115" t="s">
        <v>323</v>
      </c>
      <c r="L115">
        <v>1191</v>
      </c>
      <c r="N115">
        <v>1013</v>
      </c>
      <c r="O115" t="s">
        <v>324</v>
      </c>
      <c r="P115" t="s">
        <v>324</v>
      </c>
      <c r="Q115">
        <v>1</v>
      </c>
      <c r="X115">
        <v>0.2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0.2</v>
      </c>
      <c r="AH115">
        <v>2</v>
      </c>
      <c r="AI115">
        <v>61636110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ROW(Source!A75)</f>
        <v>75</v>
      </c>
      <c r="B116">
        <v>61636120</v>
      </c>
      <c r="C116">
        <v>61636108</v>
      </c>
      <c r="D116">
        <v>56571417</v>
      </c>
      <c r="E116">
        <v>1</v>
      </c>
      <c r="F116">
        <v>1</v>
      </c>
      <c r="G116">
        <v>1</v>
      </c>
      <c r="H116">
        <v>2</v>
      </c>
      <c r="I116" t="s">
        <v>325</v>
      </c>
      <c r="J116" t="s">
        <v>326</v>
      </c>
      <c r="K116" t="s">
        <v>327</v>
      </c>
      <c r="L116">
        <v>1368</v>
      </c>
      <c r="N116">
        <v>1011</v>
      </c>
      <c r="O116" t="s">
        <v>194</v>
      </c>
      <c r="P116" t="s">
        <v>194</v>
      </c>
      <c r="Q116">
        <v>1</v>
      </c>
      <c r="X116">
        <v>0.1</v>
      </c>
      <c r="Y116">
        <v>0</v>
      </c>
      <c r="Z116">
        <v>1459.82</v>
      </c>
      <c r="AA116">
        <v>584.69000000000005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0.1</v>
      </c>
      <c r="AH116">
        <v>2</v>
      </c>
      <c r="AI116">
        <v>61636111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ROW(Source!A75)</f>
        <v>75</v>
      </c>
      <c r="B117">
        <v>61636121</v>
      </c>
      <c r="C117">
        <v>61636108</v>
      </c>
      <c r="D117">
        <v>56572833</v>
      </c>
      <c r="E117">
        <v>1</v>
      </c>
      <c r="F117">
        <v>1</v>
      </c>
      <c r="G117">
        <v>1</v>
      </c>
      <c r="H117">
        <v>2</v>
      </c>
      <c r="I117" t="s">
        <v>336</v>
      </c>
      <c r="J117" t="s">
        <v>337</v>
      </c>
      <c r="K117" t="s">
        <v>338</v>
      </c>
      <c r="L117">
        <v>1368</v>
      </c>
      <c r="N117">
        <v>1011</v>
      </c>
      <c r="O117" t="s">
        <v>194</v>
      </c>
      <c r="P117" t="s">
        <v>194</v>
      </c>
      <c r="Q117">
        <v>1</v>
      </c>
      <c r="X117">
        <v>0.1</v>
      </c>
      <c r="Y117">
        <v>0</v>
      </c>
      <c r="Z117">
        <v>477.92</v>
      </c>
      <c r="AA117">
        <v>435.27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0.1</v>
      </c>
      <c r="AH117">
        <v>2</v>
      </c>
      <c r="AI117">
        <v>61636112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ROW(Source!A75)</f>
        <v>75</v>
      </c>
      <c r="B118">
        <v>61636122</v>
      </c>
      <c r="C118">
        <v>61636108</v>
      </c>
      <c r="D118">
        <v>56573153</v>
      </c>
      <c r="E118">
        <v>1</v>
      </c>
      <c r="F118">
        <v>1</v>
      </c>
      <c r="G118">
        <v>1</v>
      </c>
      <c r="H118">
        <v>2</v>
      </c>
      <c r="I118" t="s">
        <v>350</v>
      </c>
      <c r="J118" t="s">
        <v>351</v>
      </c>
      <c r="K118" t="s">
        <v>352</v>
      </c>
      <c r="L118">
        <v>1368</v>
      </c>
      <c r="N118">
        <v>1011</v>
      </c>
      <c r="O118" t="s">
        <v>194</v>
      </c>
      <c r="P118" t="s">
        <v>194</v>
      </c>
      <c r="Q118">
        <v>1</v>
      </c>
      <c r="X118">
        <v>2.9</v>
      </c>
      <c r="Y118">
        <v>0</v>
      </c>
      <c r="Z118">
        <v>25.86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2.9</v>
      </c>
      <c r="AH118">
        <v>2</v>
      </c>
      <c r="AI118">
        <v>61636113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ROW(Source!A75)</f>
        <v>75</v>
      </c>
      <c r="B119">
        <v>61636123</v>
      </c>
      <c r="C119">
        <v>61636108</v>
      </c>
      <c r="D119">
        <v>56579266</v>
      </c>
      <c r="E119">
        <v>1</v>
      </c>
      <c r="F119">
        <v>1</v>
      </c>
      <c r="G119">
        <v>1</v>
      </c>
      <c r="H119">
        <v>3</v>
      </c>
      <c r="I119" t="s">
        <v>374</v>
      </c>
      <c r="J119" t="s">
        <v>375</v>
      </c>
      <c r="K119" t="s">
        <v>376</v>
      </c>
      <c r="L119">
        <v>1346</v>
      </c>
      <c r="N119">
        <v>1009</v>
      </c>
      <c r="O119" t="s">
        <v>176</v>
      </c>
      <c r="P119" t="s">
        <v>176</v>
      </c>
      <c r="Q119">
        <v>1</v>
      </c>
      <c r="X119">
        <v>0.9</v>
      </c>
      <c r="Y119">
        <v>155.63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0.9</v>
      </c>
      <c r="AH119">
        <v>2</v>
      </c>
      <c r="AI119">
        <v>61636114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ROW(Source!A75)</f>
        <v>75</v>
      </c>
      <c r="B120">
        <v>61636124</v>
      </c>
      <c r="C120">
        <v>61636108</v>
      </c>
      <c r="D120">
        <v>56592692</v>
      </c>
      <c r="E120">
        <v>1</v>
      </c>
      <c r="F120">
        <v>1</v>
      </c>
      <c r="G120">
        <v>1</v>
      </c>
      <c r="H120">
        <v>3</v>
      </c>
      <c r="I120" t="s">
        <v>449</v>
      </c>
      <c r="J120" t="s">
        <v>450</v>
      </c>
      <c r="K120" t="s">
        <v>451</v>
      </c>
      <c r="L120">
        <v>1348</v>
      </c>
      <c r="N120">
        <v>1009</v>
      </c>
      <c r="O120" t="s">
        <v>356</v>
      </c>
      <c r="P120" t="s">
        <v>356</v>
      </c>
      <c r="Q120">
        <v>1000</v>
      </c>
      <c r="X120">
        <v>4.0000000000000001E-3</v>
      </c>
      <c r="Y120">
        <v>71131.5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4.0000000000000001E-3</v>
      </c>
      <c r="AH120">
        <v>2</v>
      </c>
      <c r="AI120">
        <v>61636115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ROW(Source!A75)</f>
        <v>75</v>
      </c>
      <c r="B121">
        <v>61636125</v>
      </c>
      <c r="C121">
        <v>61636108</v>
      </c>
      <c r="D121">
        <v>56609983</v>
      </c>
      <c r="E121">
        <v>1</v>
      </c>
      <c r="F121">
        <v>1</v>
      </c>
      <c r="G121">
        <v>1</v>
      </c>
      <c r="H121">
        <v>3</v>
      </c>
      <c r="I121" t="s">
        <v>446</v>
      </c>
      <c r="J121" t="s">
        <v>447</v>
      </c>
      <c r="K121" t="s">
        <v>448</v>
      </c>
      <c r="L121">
        <v>1346</v>
      </c>
      <c r="N121">
        <v>1009</v>
      </c>
      <c r="O121" t="s">
        <v>176</v>
      </c>
      <c r="P121" t="s">
        <v>176</v>
      </c>
      <c r="Q121">
        <v>1</v>
      </c>
      <c r="X121">
        <v>2</v>
      </c>
      <c r="Y121">
        <v>911.56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</v>
      </c>
      <c r="AH121">
        <v>2</v>
      </c>
      <c r="AI121">
        <v>61636116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ROW(Source!A75)</f>
        <v>75</v>
      </c>
      <c r="B122">
        <v>61636126</v>
      </c>
      <c r="C122">
        <v>61636108</v>
      </c>
      <c r="D122">
        <v>56223463</v>
      </c>
      <c r="E122">
        <v>108</v>
      </c>
      <c r="F122">
        <v>1</v>
      </c>
      <c r="G122">
        <v>1</v>
      </c>
      <c r="H122">
        <v>3</v>
      </c>
      <c r="I122" t="s">
        <v>363</v>
      </c>
      <c r="J122" t="s">
        <v>3</v>
      </c>
      <c r="K122" t="s">
        <v>364</v>
      </c>
      <c r="L122">
        <v>3277935</v>
      </c>
      <c r="N122">
        <v>1013</v>
      </c>
      <c r="O122" t="s">
        <v>365</v>
      </c>
      <c r="P122" t="s">
        <v>365</v>
      </c>
      <c r="Q122">
        <v>1</v>
      </c>
      <c r="X122">
        <v>2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 t="s">
        <v>3</v>
      </c>
      <c r="AG122">
        <v>2</v>
      </c>
      <c r="AH122">
        <v>2</v>
      </c>
      <c r="AI122">
        <v>61636117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ROW(Source!A76)</f>
        <v>76</v>
      </c>
      <c r="B123">
        <v>61636137</v>
      </c>
      <c r="C123">
        <v>61636127</v>
      </c>
      <c r="D123">
        <v>37064878</v>
      </c>
      <c r="E123">
        <v>108</v>
      </c>
      <c r="F123">
        <v>1</v>
      </c>
      <c r="G123">
        <v>1</v>
      </c>
      <c r="H123">
        <v>1</v>
      </c>
      <c r="I123" t="s">
        <v>368</v>
      </c>
      <c r="J123" t="s">
        <v>3</v>
      </c>
      <c r="K123" t="s">
        <v>369</v>
      </c>
      <c r="L123">
        <v>1191</v>
      </c>
      <c r="N123">
        <v>1013</v>
      </c>
      <c r="O123" t="s">
        <v>324</v>
      </c>
      <c r="P123" t="s">
        <v>324</v>
      </c>
      <c r="Q123">
        <v>1</v>
      </c>
      <c r="X123">
        <v>18.5</v>
      </c>
      <c r="Y123">
        <v>0</v>
      </c>
      <c r="Z123">
        <v>0</v>
      </c>
      <c r="AA123">
        <v>0</v>
      </c>
      <c r="AB123">
        <v>425.53</v>
      </c>
      <c r="AC123">
        <v>0</v>
      </c>
      <c r="AD123">
        <v>1</v>
      </c>
      <c r="AE123">
        <v>1</v>
      </c>
      <c r="AF123" t="s">
        <v>3</v>
      </c>
      <c r="AG123">
        <v>18.5</v>
      </c>
      <c r="AH123">
        <v>2</v>
      </c>
      <c r="AI123">
        <v>61636128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ROW(Source!A76)</f>
        <v>76</v>
      </c>
      <c r="B124">
        <v>61636138</v>
      </c>
      <c r="C124">
        <v>61636127</v>
      </c>
      <c r="D124">
        <v>37064876</v>
      </c>
      <c r="E124">
        <v>108</v>
      </c>
      <c r="F124">
        <v>1</v>
      </c>
      <c r="G124">
        <v>1</v>
      </c>
      <c r="H124">
        <v>1</v>
      </c>
      <c r="I124" t="s">
        <v>322</v>
      </c>
      <c r="J124" t="s">
        <v>3</v>
      </c>
      <c r="K124" t="s">
        <v>323</v>
      </c>
      <c r="L124">
        <v>1191</v>
      </c>
      <c r="N124">
        <v>1013</v>
      </c>
      <c r="O124" t="s">
        <v>324</v>
      </c>
      <c r="P124" t="s">
        <v>324</v>
      </c>
      <c r="Q124">
        <v>1</v>
      </c>
      <c r="X124">
        <v>0.34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2</v>
      </c>
      <c r="AF124" t="s">
        <v>3</v>
      </c>
      <c r="AG124">
        <v>0.34</v>
      </c>
      <c r="AH124">
        <v>2</v>
      </c>
      <c r="AI124">
        <v>61636129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ROW(Source!A76)</f>
        <v>76</v>
      </c>
      <c r="B125">
        <v>61636139</v>
      </c>
      <c r="C125">
        <v>61636127</v>
      </c>
      <c r="D125">
        <v>56571417</v>
      </c>
      <c r="E125">
        <v>1</v>
      </c>
      <c r="F125">
        <v>1</v>
      </c>
      <c r="G125">
        <v>1</v>
      </c>
      <c r="H125">
        <v>2</v>
      </c>
      <c r="I125" t="s">
        <v>325</v>
      </c>
      <c r="J125" t="s">
        <v>326</v>
      </c>
      <c r="K125" t="s">
        <v>327</v>
      </c>
      <c r="L125">
        <v>1368</v>
      </c>
      <c r="N125">
        <v>1011</v>
      </c>
      <c r="O125" t="s">
        <v>194</v>
      </c>
      <c r="P125" t="s">
        <v>194</v>
      </c>
      <c r="Q125">
        <v>1</v>
      </c>
      <c r="X125">
        <v>0.17</v>
      </c>
      <c r="Y125">
        <v>0</v>
      </c>
      <c r="Z125">
        <v>1459.82</v>
      </c>
      <c r="AA125">
        <v>584.69000000000005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0.17</v>
      </c>
      <c r="AH125">
        <v>2</v>
      </c>
      <c r="AI125">
        <v>61636130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ROW(Source!A76)</f>
        <v>76</v>
      </c>
      <c r="B126">
        <v>61636140</v>
      </c>
      <c r="C126">
        <v>61636127</v>
      </c>
      <c r="D126">
        <v>56572833</v>
      </c>
      <c r="E126">
        <v>1</v>
      </c>
      <c r="F126">
        <v>1</v>
      </c>
      <c r="G126">
        <v>1</v>
      </c>
      <c r="H126">
        <v>2</v>
      </c>
      <c r="I126" t="s">
        <v>336</v>
      </c>
      <c r="J126" t="s">
        <v>337</v>
      </c>
      <c r="K126" t="s">
        <v>338</v>
      </c>
      <c r="L126">
        <v>1368</v>
      </c>
      <c r="N126">
        <v>1011</v>
      </c>
      <c r="O126" t="s">
        <v>194</v>
      </c>
      <c r="P126" t="s">
        <v>194</v>
      </c>
      <c r="Q126">
        <v>1</v>
      </c>
      <c r="X126">
        <v>0.17</v>
      </c>
      <c r="Y126">
        <v>0</v>
      </c>
      <c r="Z126">
        <v>477.92</v>
      </c>
      <c r="AA126">
        <v>435.27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0.17</v>
      </c>
      <c r="AH126">
        <v>2</v>
      </c>
      <c r="AI126">
        <v>61636131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ROW(Source!A76)</f>
        <v>76</v>
      </c>
      <c r="B127">
        <v>61636141</v>
      </c>
      <c r="C127">
        <v>61636127</v>
      </c>
      <c r="D127">
        <v>56573153</v>
      </c>
      <c r="E127">
        <v>1</v>
      </c>
      <c r="F127">
        <v>1</v>
      </c>
      <c r="G127">
        <v>1</v>
      </c>
      <c r="H127">
        <v>2</v>
      </c>
      <c r="I127" t="s">
        <v>350</v>
      </c>
      <c r="J127" t="s">
        <v>351</v>
      </c>
      <c r="K127" t="s">
        <v>352</v>
      </c>
      <c r="L127">
        <v>1368</v>
      </c>
      <c r="N127">
        <v>1011</v>
      </c>
      <c r="O127" t="s">
        <v>194</v>
      </c>
      <c r="P127" t="s">
        <v>194</v>
      </c>
      <c r="Q127">
        <v>1</v>
      </c>
      <c r="X127">
        <v>2.9</v>
      </c>
      <c r="Y127">
        <v>0</v>
      </c>
      <c r="Z127">
        <v>25.86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2.9</v>
      </c>
      <c r="AH127">
        <v>2</v>
      </c>
      <c r="AI127">
        <v>61636132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ROW(Source!A76)</f>
        <v>76</v>
      </c>
      <c r="B128">
        <v>61636142</v>
      </c>
      <c r="C128">
        <v>61636127</v>
      </c>
      <c r="D128">
        <v>56579266</v>
      </c>
      <c r="E128">
        <v>1</v>
      </c>
      <c r="F128">
        <v>1</v>
      </c>
      <c r="G128">
        <v>1</v>
      </c>
      <c r="H128">
        <v>3</v>
      </c>
      <c r="I128" t="s">
        <v>374</v>
      </c>
      <c r="J128" t="s">
        <v>375</v>
      </c>
      <c r="K128" t="s">
        <v>376</v>
      </c>
      <c r="L128">
        <v>1346</v>
      </c>
      <c r="N128">
        <v>1009</v>
      </c>
      <c r="O128" t="s">
        <v>176</v>
      </c>
      <c r="P128" t="s">
        <v>176</v>
      </c>
      <c r="Q128">
        <v>1</v>
      </c>
      <c r="X128">
        <v>0.9</v>
      </c>
      <c r="Y128">
        <v>155.63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0.9</v>
      </c>
      <c r="AH128">
        <v>2</v>
      </c>
      <c r="AI128">
        <v>61636133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ROW(Source!A76)</f>
        <v>76</v>
      </c>
      <c r="B129">
        <v>61636143</v>
      </c>
      <c r="C129">
        <v>61636127</v>
      </c>
      <c r="D129">
        <v>56592692</v>
      </c>
      <c r="E129">
        <v>1</v>
      </c>
      <c r="F129">
        <v>1</v>
      </c>
      <c r="G129">
        <v>1</v>
      </c>
      <c r="H129">
        <v>3</v>
      </c>
      <c r="I129" t="s">
        <v>449</v>
      </c>
      <c r="J129" t="s">
        <v>450</v>
      </c>
      <c r="K129" t="s">
        <v>451</v>
      </c>
      <c r="L129">
        <v>1348</v>
      </c>
      <c r="N129">
        <v>1009</v>
      </c>
      <c r="O129" t="s">
        <v>356</v>
      </c>
      <c r="P129" t="s">
        <v>356</v>
      </c>
      <c r="Q129">
        <v>1000</v>
      </c>
      <c r="X129">
        <v>4.0000000000000001E-3</v>
      </c>
      <c r="Y129">
        <v>71131.5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4.0000000000000001E-3</v>
      </c>
      <c r="AH129">
        <v>2</v>
      </c>
      <c r="AI129">
        <v>61636134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ROW(Source!A76)</f>
        <v>76</v>
      </c>
      <c r="B130">
        <v>61636144</v>
      </c>
      <c r="C130">
        <v>61636127</v>
      </c>
      <c r="D130">
        <v>56609983</v>
      </c>
      <c r="E130">
        <v>1</v>
      </c>
      <c r="F130">
        <v>1</v>
      </c>
      <c r="G130">
        <v>1</v>
      </c>
      <c r="H130">
        <v>3</v>
      </c>
      <c r="I130" t="s">
        <v>446</v>
      </c>
      <c r="J130" t="s">
        <v>447</v>
      </c>
      <c r="K130" t="s">
        <v>448</v>
      </c>
      <c r="L130">
        <v>1346</v>
      </c>
      <c r="N130">
        <v>1009</v>
      </c>
      <c r="O130" t="s">
        <v>176</v>
      </c>
      <c r="P130" t="s">
        <v>176</v>
      </c>
      <c r="Q130">
        <v>1</v>
      </c>
      <c r="X130">
        <v>2.4</v>
      </c>
      <c r="Y130">
        <v>911.56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2.4</v>
      </c>
      <c r="AH130">
        <v>2</v>
      </c>
      <c r="AI130">
        <v>61636135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ROW(Source!A76)</f>
        <v>76</v>
      </c>
      <c r="B131">
        <v>61636145</v>
      </c>
      <c r="C131">
        <v>61636127</v>
      </c>
      <c r="D131">
        <v>56223463</v>
      </c>
      <c r="E131">
        <v>108</v>
      </c>
      <c r="F131">
        <v>1</v>
      </c>
      <c r="G131">
        <v>1</v>
      </c>
      <c r="H131">
        <v>3</v>
      </c>
      <c r="I131" t="s">
        <v>363</v>
      </c>
      <c r="J131" t="s">
        <v>3</v>
      </c>
      <c r="K131" t="s">
        <v>364</v>
      </c>
      <c r="L131">
        <v>3277935</v>
      </c>
      <c r="N131">
        <v>1013</v>
      </c>
      <c r="O131" t="s">
        <v>365</v>
      </c>
      <c r="P131" t="s">
        <v>365</v>
      </c>
      <c r="Q131">
        <v>1</v>
      </c>
      <c r="X131">
        <v>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 t="s">
        <v>3</v>
      </c>
      <c r="AG131">
        <v>2</v>
      </c>
      <c r="AH131">
        <v>2</v>
      </c>
      <c r="AI131">
        <v>61636136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ROW(Source!A153)</f>
        <v>153</v>
      </c>
      <c r="B132">
        <v>61636641</v>
      </c>
      <c r="C132">
        <v>61636634</v>
      </c>
      <c r="D132">
        <v>60457970</v>
      </c>
      <c r="E132">
        <v>110</v>
      </c>
      <c r="F132">
        <v>1</v>
      </c>
      <c r="G132">
        <v>1</v>
      </c>
      <c r="H132">
        <v>1</v>
      </c>
      <c r="I132" t="s">
        <v>452</v>
      </c>
      <c r="J132" t="s">
        <v>3</v>
      </c>
      <c r="K132" t="s">
        <v>453</v>
      </c>
      <c r="L132">
        <v>1191</v>
      </c>
      <c r="N132">
        <v>1013</v>
      </c>
      <c r="O132" t="s">
        <v>324</v>
      </c>
      <c r="P132" t="s">
        <v>324</v>
      </c>
      <c r="Q132">
        <v>1</v>
      </c>
      <c r="X132">
        <v>2.19</v>
      </c>
      <c r="Y132">
        <v>0</v>
      </c>
      <c r="Z132">
        <v>0</v>
      </c>
      <c r="AA132">
        <v>0</v>
      </c>
      <c r="AB132">
        <v>383.3</v>
      </c>
      <c r="AC132">
        <v>0</v>
      </c>
      <c r="AD132">
        <v>1</v>
      </c>
      <c r="AE132">
        <v>1</v>
      </c>
      <c r="AF132" t="s">
        <v>3</v>
      </c>
      <c r="AG132">
        <v>2.19</v>
      </c>
      <c r="AH132">
        <v>2</v>
      </c>
      <c r="AI132">
        <v>61636641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ROW(Source!A193)</f>
        <v>193</v>
      </c>
      <c r="B133">
        <v>61636278</v>
      </c>
      <c r="C133">
        <v>61636275</v>
      </c>
      <c r="D133">
        <v>56217421</v>
      </c>
      <c r="E133">
        <v>108</v>
      </c>
      <c r="F133">
        <v>1</v>
      </c>
      <c r="G133">
        <v>1</v>
      </c>
      <c r="H133">
        <v>1</v>
      </c>
      <c r="I133" t="s">
        <v>454</v>
      </c>
      <c r="J133" t="s">
        <v>3</v>
      </c>
      <c r="K133" t="s">
        <v>455</v>
      </c>
      <c r="L133">
        <v>1369</v>
      </c>
      <c r="N133">
        <v>1013</v>
      </c>
      <c r="O133" t="s">
        <v>315</v>
      </c>
      <c r="P133" t="s">
        <v>315</v>
      </c>
      <c r="Q133">
        <v>1</v>
      </c>
      <c r="X133">
        <v>0.41</v>
      </c>
      <c r="Y133">
        <v>0</v>
      </c>
      <c r="Z133">
        <v>0</v>
      </c>
      <c r="AA133">
        <v>0</v>
      </c>
      <c r="AB133">
        <v>584.69000000000005</v>
      </c>
      <c r="AC133">
        <v>0</v>
      </c>
      <c r="AD133">
        <v>1</v>
      </c>
      <c r="AE133">
        <v>1</v>
      </c>
      <c r="AF133" t="s">
        <v>3</v>
      </c>
      <c r="AG133">
        <v>0.41</v>
      </c>
      <c r="AH133">
        <v>2</v>
      </c>
      <c r="AI133">
        <v>61636276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ROW(Source!A193)</f>
        <v>193</v>
      </c>
      <c r="B134">
        <v>61636279</v>
      </c>
      <c r="C134">
        <v>61636275</v>
      </c>
      <c r="D134">
        <v>56217452</v>
      </c>
      <c r="E134">
        <v>108</v>
      </c>
      <c r="F134">
        <v>1</v>
      </c>
      <c r="G134">
        <v>1</v>
      </c>
      <c r="H134">
        <v>1</v>
      </c>
      <c r="I134" t="s">
        <v>456</v>
      </c>
      <c r="J134" t="s">
        <v>3</v>
      </c>
      <c r="K134" t="s">
        <v>457</v>
      </c>
      <c r="L134">
        <v>1369</v>
      </c>
      <c r="N134">
        <v>1013</v>
      </c>
      <c r="O134" t="s">
        <v>315</v>
      </c>
      <c r="P134" t="s">
        <v>315</v>
      </c>
      <c r="Q134">
        <v>1</v>
      </c>
      <c r="X134">
        <v>0.41</v>
      </c>
      <c r="Y134">
        <v>0</v>
      </c>
      <c r="Z134">
        <v>0</v>
      </c>
      <c r="AA134">
        <v>0</v>
      </c>
      <c r="AB134">
        <v>571.70000000000005</v>
      </c>
      <c r="AC134">
        <v>0</v>
      </c>
      <c r="AD134">
        <v>1</v>
      </c>
      <c r="AE134">
        <v>1</v>
      </c>
      <c r="AF134" t="s">
        <v>3</v>
      </c>
      <c r="AG134">
        <v>0.41</v>
      </c>
      <c r="AH134">
        <v>2</v>
      </c>
      <c r="AI134">
        <v>61636277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ROW(Source!A194)</f>
        <v>194</v>
      </c>
      <c r="B135">
        <v>61636283</v>
      </c>
      <c r="C135">
        <v>61636280</v>
      </c>
      <c r="D135">
        <v>56217421</v>
      </c>
      <c r="E135">
        <v>108</v>
      </c>
      <c r="F135">
        <v>1</v>
      </c>
      <c r="G135">
        <v>1</v>
      </c>
      <c r="H135">
        <v>1</v>
      </c>
      <c r="I135" t="s">
        <v>454</v>
      </c>
      <c r="J135" t="s">
        <v>3</v>
      </c>
      <c r="K135" t="s">
        <v>455</v>
      </c>
      <c r="L135">
        <v>1369</v>
      </c>
      <c r="N135">
        <v>1013</v>
      </c>
      <c r="O135" t="s">
        <v>315</v>
      </c>
      <c r="P135" t="s">
        <v>315</v>
      </c>
      <c r="Q135">
        <v>1</v>
      </c>
      <c r="X135">
        <v>0.16</v>
      </c>
      <c r="Y135">
        <v>0</v>
      </c>
      <c r="Z135">
        <v>0</v>
      </c>
      <c r="AA135">
        <v>0</v>
      </c>
      <c r="AB135">
        <v>584.69000000000005</v>
      </c>
      <c r="AC135">
        <v>0</v>
      </c>
      <c r="AD135">
        <v>1</v>
      </c>
      <c r="AE135">
        <v>1</v>
      </c>
      <c r="AF135" t="s">
        <v>3</v>
      </c>
      <c r="AG135">
        <v>0.16</v>
      </c>
      <c r="AH135">
        <v>2</v>
      </c>
      <c r="AI135">
        <v>61636281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ROW(Source!A194)</f>
        <v>194</v>
      </c>
      <c r="B136">
        <v>61636284</v>
      </c>
      <c r="C136">
        <v>61636280</v>
      </c>
      <c r="D136">
        <v>56217452</v>
      </c>
      <c r="E136">
        <v>108</v>
      </c>
      <c r="F136">
        <v>1</v>
      </c>
      <c r="G136">
        <v>1</v>
      </c>
      <c r="H136">
        <v>1</v>
      </c>
      <c r="I136" t="s">
        <v>456</v>
      </c>
      <c r="J136" t="s">
        <v>3</v>
      </c>
      <c r="K136" t="s">
        <v>457</v>
      </c>
      <c r="L136">
        <v>1369</v>
      </c>
      <c r="N136">
        <v>1013</v>
      </c>
      <c r="O136" t="s">
        <v>315</v>
      </c>
      <c r="P136" t="s">
        <v>315</v>
      </c>
      <c r="Q136">
        <v>1</v>
      </c>
      <c r="X136">
        <v>0.16</v>
      </c>
      <c r="Y136">
        <v>0</v>
      </c>
      <c r="Z136">
        <v>0</v>
      </c>
      <c r="AA136">
        <v>0</v>
      </c>
      <c r="AB136">
        <v>571.70000000000005</v>
      </c>
      <c r="AC136">
        <v>0</v>
      </c>
      <c r="AD136">
        <v>1</v>
      </c>
      <c r="AE136">
        <v>1</v>
      </c>
      <c r="AF136" t="s">
        <v>3</v>
      </c>
      <c r="AG136">
        <v>0.16</v>
      </c>
      <c r="AH136">
        <v>2</v>
      </c>
      <c r="AI136">
        <v>61636282</v>
      </c>
      <c r="AJ136">
        <v>136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ФСНБ 421+557прРИМ</vt:lpstr>
      <vt:lpstr>Source</vt:lpstr>
      <vt:lpstr>SourceObSm</vt:lpstr>
      <vt:lpstr>SmtRes</vt:lpstr>
      <vt:lpstr>EtalonRes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ALEXANDR</cp:lastModifiedBy>
  <dcterms:created xsi:type="dcterms:W3CDTF">2024-08-30T06:29:35Z</dcterms:created>
  <dcterms:modified xsi:type="dcterms:W3CDTF">2024-09-24T16:51:35Z</dcterms:modified>
</cp:coreProperties>
</file>